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gif" ContentType="image/gif"/>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workbookProtection workbookAlgorithmName="SHA-512" workbookHashValue="tJMU8R9c0VKfb39+SPkKNlIuE1NSdkH4aIQIFDLp6r4LoBn3G/n1Yo3CPawD1hQFg/hK8GKi2GRiQ0bCWoyAQw==" workbookSaltValue="6RbOUe9274EjTZSL04n8Rg==" workbookSpinCount="100000" lockStructure="1"/>
  <bookViews>
    <workbookView windowWidth="20490" windowHeight="7620"/>
  </bookViews>
  <sheets>
    <sheet name="Design Converter" sheetId="1" r:id="rId1"/>
    <sheet name="Licenses" sheetId="10" r:id="rId2"/>
    <sheet name="Variable_Management" sheetId="2" state="hidden" r:id="rId3"/>
    <sheet name="Eff_vs_IOUT" sheetId="4" state="hidden" r:id="rId4"/>
    <sheet name="Loop_Modeling" sheetId="5" state="hidden" r:id="rId5"/>
    <sheet name="Constants" sheetId="3" state="hidden" r:id="rId6"/>
    <sheet name="Plot_Management_Eff" sheetId="6" state="hidden" r:id="rId7"/>
    <sheet name="Plot_Management_Sch" sheetId="7" state="hidden" r:id="rId8"/>
    <sheet name="Lists" sheetId="8" state="hidden" r:id="rId9"/>
  </sheets>
  <definedNames>
    <definedName name="Acs">Constants!$B$30</definedName>
    <definedName name="Adc">Loop_Modeling!$B$34</definedName>
    <definedName name="Adc_ea">Loop_Modeling!$B$58</definedName>
    <definedName name="ADC_VINmin">Variable_Management!$B$178</definedName>
    <definedName name="Cac">Variable_Management!$B$132</definedName>
    <definedName name="Cac_min">Variable_Management!$B$131</definedName>
    <definedName name="CCOMP">Variable_Management!$B$238</definedName>
    <definedName name="CCOMP_Calc">Variable_Management!$B$237</definedName>
    <definedName name="CCOMP_calc_CCM">Variable_Management!$B$207</definedName>
    <definedName name="CCOMP_CALC_DCM">Variable_Management!$B$228</definedName>
    <definedName name="CHF">Variable_Management!$B$240</definedName>
    <definedName name="CHF_calc">Variable_Management!$B$239</definedName>
    <definedName name="CHF_CALC_CCM">Variable_Management!$B$208</definedName>
    <definedName name="CHF_CALC_DCM">Variable_Management!$B$229</definedName>
    <definedName name="Comp_calc_CCM">Variable_Management!$B$207</definedName>
    <definedName name="Cout">Variable_Management!$B$144</definedName>
    <definedName name="Cout_min">Variable_Management!$B$142</definedName>
    <definedName name="D_limit_max">Constants!$B$18</definedName>
    <definedName name="D_limit_min">Constants!$B$16</definedName>
    <definedName name="D_limit_nom">Constants!$B$17</definedName>
    <definedName name="DC_DCM_max">Variable_Management!$B$32</definedName>
    <definedName name="Dc_max_IC">Variable_Management!$B$20</definedName>
    <definedName name="Dc_max_ideal">Variable_Management!$A$19</definedName>
    <definedName name="DC_rip">Variable_Management!#REF!</definedName>
    <definedName name="Dc_rip_max">Variable_Management!#REF!</definedName>
    <definedName name="Dc_VIN_max">Variable_Management!$B$87</definedName>
    <definedName name="Dc_VIN_min">Variable_Management!$B$53</definedName>
    <definedName name="Dc_VIN_nom">Variable_Management!$B$70</definedName>
    <definedName name="DC_VIN_Var">Loop_Modeling!$B$18</definedName>
    <definedName name="DC_VIN_var_DCM">Loop_Modeling!$B$66</definedName>
    <definedName name="EFF_est">Variable_Management!$B$17</definedName>
    <definedName name="Eff_vs_IOUT">Plot_Management_Eff!$C$3</definedName>
    <definedName name="fcross">Variable_Management!$B$233</definedName>
    <definedName name="fcross_est">Variable_Management!$B$232</definedName>
    <definedName name="fp_ea_est">Variable_Management!$B$202</definedName>
    <definedName name="Fsw">Variable_Management!$B$10</definedName>
    <definedName name="fz_ea_est">Variable_Management!$B$201</definedName>
    <definedName name="fz_rhp">Variable_Management!$B$187</definedName>
    <definedName name="Gcomp">Constants!$B$29</definedName>
    <definedName name="Gea_mid_calc">Variable_Management!#REF!</definedName>
    <definedName name="gfs">Variable_Management!$B$256</definedName>
    <definedName name="gm_ea">Constants!$B$34</definedName>
    <definedName name="Gplant_fc_dB">Loop_Modeling!$AD$7</definedName>
    <definedName name="IIN_33">Variable_Management!#REF!</definedName>
    <definedName name="IL_coupled">Variable_Management!$B$24</definedName>
    <definedName name="IL_pk">Variable_Management!$B$122</definedName>
    <definedName name="IL_pk_max">Variable_Management!$B$123</definedName>
    <definedName name="ILA_avg_VIN_max">Variable_Management!$B$90</definedName>
    <definedName name="ILA_avg_VIN_min">Variable_Management!$B$56</definedName>
    <definedName name="ILA_avg_VIN_nom">Variable_Management!$B$73</definedName>
    <definedName name="ILAp_VINmax">Variable_Management!$B$92</definedName>
    <definedName name="ILAp_VINmin">Variable_Management!$B$58</definedName>
    <definedName name="ILAp_VINnom">Variable_Management!$B$75</definedName>
    <definedName name="ILArip_VINmax">Variable_Management!$B$91</definedName>
    <definedName name="ILArip_VINmin">Variable_Management!$B$57</definedName>
    <definedName name="ILArip_VINnom">Variable_Management!$B$74</definedName>
    <definedName name="ILB_avg_VIN_max">Variable_Management!$B$95</definedName>
    <definedName name="ILB_avg_VIN_min">Variable_Management!$B$61</definedName>
    <definedName name="ILB_avg_VIN_nom">Variable_Management!$B$78</definedName>
    <definedName name="ILBp_VIN_max">Variable_Management!$B$97</definedName>
    <definedName name="ILBp_VIN_min">Variable_Management!$B$63</definedName>
    <definedName name="ILBp_VIN_nom">Variable_Management!$B$80</definedName>
    <definedName name="ILBrip_VIN_max">Variable_Management!$B$96</definedName>
    <definedName name="ILBrip_VIN_nom">Variable_Management!$B$79</definedName>
    <definedName name="ILBrip_VINmin">Variable_Management!$B$62</definedName>
    <definedName name="ILrip">Variable_Management!$B$28</definedName>
    <definedName name="IOUT">Variable_Management!$B$14</definedName>
    <definedName name="IOUT_VAR">Loop_Modeling!$B$17</definedName>
    <definedName name="Ipk_margin">Variable_Management!$B$103</definedName>
    <definedName name="Ipk_selected">Variable_Management!$B$104</definedName>
    <definedName name="IQ">Constants!$B$48</definedName>
    <definedName name="IRMS_COUT">Variable_Management!$B$143</definedName>
    <definedName name="Isl">Constants!$B$25</definedName>
    <definedName name="Iss">Constants!$B$37</definedName>
    <definedName name="ISW_peak_VIN_min">Variable_Management!$B$66</definedName>
    <definedName name="ISW_peak_VIN_nom">Variable_Management!$B$83</definedName>
    <definedName name="Kslope">Variable_Management!$B$110</definedName>
    <definedName name="Lm">Variable_Management!$B$40</definedName>
    <definedName name="Lm_A">Variable_Management!$B$42</definedName>
    <definedName name="Lm_B">Variable_Management!$B$44</definedName>
    <definedName name="Lopt">Variable_Management!#REF!</definedName>
    <definedName name="Lopt_2">Variable_Management!$B$29</definedName>
    <definedName name="M_L_DCM">Variable_Management!$B$34</definedName>
    <definedName name="POUT">Variable_Management!$B$16</definedName>
    <definedName name="_xlnm.Print_Area" localSheetId="0">'Design Converter'!$A$1:$Z$102</definedName>
    <definedName name="Q">Loop_Modeling!$B$48</definedName>
    <definedName name="Q_VINmin">Variable_Management!$B$195</definedName>
    <definedName name="Qg_tot">Variable_Management!$B$251</definedName>
    <definedName name="Qgd">Variable_Management!$B$252</definedName>
    <definedName name="Qgs">Variable_Management!$B$253</definedName>
    <definedName name="Qrr">Variable_Management!$B$246</definedName>
    <definedName name="R_cs">Variable_Management!$B$118</definedName>
    <definedName name="R_sl">Variable_Management!$B$119</definedName>
    <definedName name="RCOMP">Variable_Management!$B$236</definedName>
    <definedName name="RCOMP_Calc">Variable_Management!$B$235</definedName>
    <definedName name="Rcomp_calc_CCM">Variable_Management!$B$206</definedName>
    <definedName name="RCOMP_CALC_DCM">Variable_Management!$B$227</definedName>
    <definedName name="Rcs_max">Variable_Management!$B$107</definedName>
    <definedName name="Rcs_w_sl">Variable_Management!$B$111</definedName>
    <definedName name="Rcs_wo_sl">Variable_Management!$B$108</definedName>
    <definedName name="Rdcr">Variable_Management!$B$46</definedName>
    <definedName name="RDS_on">Variable_Management!$B$250</definedName>
    <definedName name="Resr">Variable_Management!$B$145</definedName>
    <definedName name="RFBB">Variable_Management!$B$172</definedName>
    <definedName name="RFBB_calc">Variable_Management!$B$171</definedName>
    <definedName name="RFBT">Variable_Management!$B$170</definedName>
    <definedName name="Rgate">Variable_Management!$B$254</definedName>
    <definedName name="ROUT">Variable_Management!$B$15</definedName>
    <definedName name="Rsl_int">Constants!$B$26</definedName>
    <definedName name="RT">Variable_Management!$B$11</definedName>
    <definedName name="Ruvlo_bottom_calc">Variable_Management!$B$161</definedName>
    <definedName name="Ruvlo_top">Variable_Management!$B$160</definedName>
    <definedName name="Ruvlo_top_calc">Variable_Management!$B$159</definedName>
    <definedName name="SCH_1">Plot_Management_Sch!$B$2</definedName>
    <definedName name="Se_VINmin">Variable_Management!$B$191</definedName>
    <definedName name="Sn_VINmin">Variable_Management!$B$192</definedName>
    <definedName name="tf_sw">Variable_Management!$B$263</definedName>
    <definedName name="tr_sw">Variable_Management!$B$262</definedName>
    <definedName name="tss">Variable_Management!$B$150</definedName>
    <definedName name="UV_fall">Constants!$B$41</definedName>
    <definedName name="UV_I_hyst">Constants!$B$42</definedName>
    <definedName name="UV_rise">Constants!$B$40</definedName>
    <definedName name="Vcc">Constants!$B$45</definedName>
    <definedName name="Vcl">Constants!$B$27</definedName>
    <definedName name="VCrr">Variable_Management!$B$130</definedName>
    <definedName name="Vd_rect">Variable_Management!$B$245</definedName>
    <definedName name="VIN_33">Variable_Management!#REF!</definedName>
    <definedName name="VIN_max">Variable_Management!$B$9</definedName>
    <definedName name="VIN_min">Variable_Management!$B$7</definedName>
    <definedName name="VIN_nom">Variable_Management!$B$8</definedName>
    <definedName name="VIN_op_max">Constants!$B$52</definedName>
    <definedName name="VIN_op_min">Constants!$B$51</definedName>
    <definedName name="VIN_var">Loop_Modeling!$B$16</definedName>
    <definedName name="VOUT">Variable_Management!$B$13</definedName>
    <definedName name="Vout_rip_sel">Variable_Management!$B$140</definedName>
    <definedName name="Vref">Constants!$B$33</definedName>
    <definedName name="Vth">Variable_Management!$B$257</definedName>
    <definedName name="Vuvlo_off">Variable_Management!$B$155</definedName>
    <definedName name="Vuvlo_on">Variable_Management!$B$154</definedName>
    <definedName name="wp_lf">Loop_Modeling!$B$35</definedName>
    <definedName name="wp_lf_DCM">Loop_Modeling!$B$69</definedName>
    <definedName name="wp_lf_VINmin">Variable_Management!$B$180</definedName>
    <definedName name="wp0_ea">Loop_Modeling!$B$60</definedName>
    <definedName name="wp1_ea">Loop_Modeling!$B$61</definedName>
    <definedName name="wsl">Loop_Modeling!$B$47</definedName>
    <definedName name="wsl_VINmin">Variable_Management!$B$194</definedName>
    <definedName name="wz_ea">Loop_Modeling!$B$59</definedName>
    <definedName name="wz_esr">Loop_Modeling!$B$41</definedName>
    <definedName name="wz_esr_VINmin">Variable_Management!$B$183</definedName>
    <definedName name="wz_rhp">Loop_Modeling!$B$38</definedName>
    <definedName name="wz_RHP_VINmin">Variable_Management!$B$186</definedName>
    <definedName name="wz1_dcm">Loop_Modeling!$B$71</definedName>
    <definedName name="wz2_dcm">Loop_Modeling!$B$73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BMC-BCS</author>
  </authors>
  <commentList>
    <comment ref="A3" authorId="0">
      <text>
        <r>
          <rPr>
            <b/>
            <sz val="11"/>
            <color indexed="10"/>
            <rFont val="Tahoma"/>
            <charset val="134"/>
          </rPr>
          <t>Welcome to the LM34x8 Design Tool</t>
        </r>
        <r>
          <rPr>
            <sz val="9"/>
            <rFont val="Tahoma"/>
            <charset val="134"/>
          </rPr>
          <t xml:space="preserve">
This stand-alone tool facilitates and assists the power supply engineer with design of a DC-DC boost converter based on the LM34x8 SEPIC controller. As such, the user can expeditiously arrive at an optimized design by virtue of the following:
- Select components
- Optimize compensation values and pole/zero placement in terms of control loop stability using crossover frquency as a performance metric
- Inspect regulator efficiency and component power dissipation
- Analyze efficiency based on selected MOSFET, inductor and diode parameters
IMPORTANT: You must enable macros if Microsoft Excel asks as the file is being opened. U.S. English notation is used throughout. Make sure to input or select values in all of the yellow shaded cells even if a value already exists in that cell. Do not over write equations in cells, as this may result in calculation errors.
</t>
        </r>
      </text>
    </comment>
    <comment ref="G7" authorId="0">
      <text>
        <r>
          <rPr>
            <b/>
            <sz val="9"/>
            <rFont val="Tahoma"/>
            <charset val="134"/>
          </rPr>
          <t xml:space="preserve">Minimum Input Voltage:
</t>
        </r>
        <r>
          <rPr>
            <sz val="9"/>
            <rFont val="Tahoma"/>
            <charset val="134"/>
          </rPr>
          <t xml:space="preserve">Enter the minimum operating input voltage.
The LM34x8 VIN pin voltage operating range is 2.97V to 40V.
</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40V
-The input voltage is below 2.97V</t>
        </r>
      </text>
    </comment>
    <comment ref="G8" authorId="0">
      <text>
        <r>
          <rPr>
            <b/>
            <sz val="9"/>
            <rFont val="Tahoma"/>
            <charset val="134"/>
          </rPr>
          <t xml:space="preserve">Nominal Input Voltage:
</t>
        </r>
        <r>
          <rPr>
            <sz val="9"/>
            <rFont val="Tahoma"/>
            <charset val="134"/>
          </rPr>
          <t>Enter the nominal operating input voltage.
The LM34x8 input voltage operating range is 2.97V to 40V.</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V</t>
        </r>
        <r>
          <rPr>
            <vertAlign val="subscript"/>
            <sz val="9"/>
            <rFont val="Tahoma"/>
            <charset val="134"/>
          </rPr>
          <t>SUPPLY</t>
        </r>
        <r>
          <rPr>
            <sz val="9"/>
            <rFont val="Tahoma"/>
            <charset val="134"/>
          </rPr>
          <t>(max)
-The input voltage is below V</t>
        </r>
        <r>
          <rPr>
            <vertAlign val="subscript"/>
            <sz val="9"/>
            <rFont val="Tahoma"/>
            <charset val="134"/>
          </rPr>
          <t>SUPPLY</t>
        </r>
        <r>
          <rPr>
            <sz val="9"/>
            <rFont val="Tahoma"/>
            <charset val="134"/>
          </rPr>
          <t>(min)</t>
        </r>
      </text>
    </comment>
    <comment ref="G9" authorId="0">
      <text>
        <r>
          <rPr>
            <b/>
            <sz val="9"/>
            <rFont val="Tahoma"/>
            <charset val="134"/>
          </rPr>
          <t>Maximum Input Voltage:</t>
        </r>
        <r>
          <rPr>
            <sz val="9"/>
            <rFont val="Tahoma"/>
            <charset val="134"/>
          </rPr>
          <t xml:space="preserve">
Enter the maximum operating input voltage.
The LM34x8 input voltage operating range is 2.97V to 40V.
</t>
        </r>
        <r>
          <rPr>
            <b/>
            <sz val="9"/>
            <color indexed="10"/>
            <rFont val="Tahoma"/>
            <charset val="134"/>
          </rPr>
          <t xml:space="preserve">
The text in the cell is flagged red if:</t>
        </r>
        <r>
          <rPr>
            <sz val="9"/>
            <rFont val="Tahoma"/>
            <charset val="134"/>
          </rPr>
          <t xml:space="preserve">
-The input voltage is above 40V
-The input voltage is below 2.97V</t>
        </r>
      </text>
    </comment>
    <comment ref="G10" authorId="0">
      <text>
        <r>
          <rPr>
            <b/>
            <sz val="9"/>
            <rFont val="Tahoma"/>
            <charset val="134"/>
          </rPr>
          <t>Output Voltage:</t>
        </r>
        <r>
          <rPr>
            <sz val="9"/>
            <rFont val="Tahoma"/>
            <charset val="134"/>
          </rPr>
          <t xml:space="preserve">
Enter the desired output voltage.
</t>
        </r>
      </text>
    </comment>
    <comment ref="G12" authorId="0">
      <text>
        <r>
          <rPr>
            <b/>
            <sz val="9"/>
            <rFont val="Tahoma"/>
            <charset val="134"/>
          </rPr>
          <t>Operating Frequency (set by FA/SD):</t>
        </r>
        <r>
          <rPr>
            <sz val="9"/>
            <rFont val="Tahoma"/>
            <charset val="134"/>
          </rPr>
          <t xml:space="preserve">
This cell defines the free-running switching frequency set by the RT resistor. 
</t>
        </r>
        <r>
          <rPr>
            <sz val="11"/>
            <color indexed="10"/>
            <rFont val="Calibri"/>
            <scheme val="minor"/>
            <charset val="0"/>
          </rPr>
          <t>The text in the cell is flagged red if:</t>
        </r>
        <r>
          <rPr>
            <sz val="9"/>
            <rFont val="Tahoma"/>
            <charset val="134"/>
          </rPr>
          <t xml:space="preserve">
-The frequency is below 100 kHz
-The frequency is above 1 MHz</t>
        </r>
      </text>
    </comment>
    <comment ref="G15" authorId="0">
      <text>
        <r>
          <rPr>
            <b/>
            <sz val="9"/>
            <rFont val="Tahoma"/>
            <charset val="134"/>
          </rPr>
          <t xml:space="preserve">Maximum duty cycle
</t>
        </r>
        <r>
          <rPr>
            <sz val="9"/>
            <rFont val="Tahoma"/>
            <charset val="134"/>
          </rPr>
          <t xml:space="preserve">The LM3478-88 has a maximum duty cycle of 100%.
The limits for the maximum duty cycle can not be specified since the part does not permit less than 100% maximum duty cycle operation
</t>
        </r>
      </text>
    </comment>
    <comment ref="G16" authorId="0">
      <text>
        <r>
          <rPr>
            <sz val="9"/>
            <color indexed="10"/>
            <rFont val="Tahoma"/>
            <charset val="134"/>
          </rPr>
          <t xml:space="preserve">
</t>
        </r>
        <r>
          <rPr>
            <b/>
            <sz val="9"/>
            <color indexed="10"/>
            <rFont val="Tahoma"/>
            <charset val="134"/>
          </rPr>
          <t>The text in the cell is flagged red if:</t>
        </r>
        <r>
          <rPr>
            <sz val="9"/>
            <rFont val="Tahoma"/>
            <charset val="134"/>
          </rPr>
          <t xml:space="preserve">
</t>
        </r>
        <r>
          <rPr>
            <b/>
            <sz val="9"/>
            <rFont val="Tahoma"/>
            <charset val="134"/>
          </rPr>
          <t>- Duty CCM duty cycle for the step up ratio is greater then the duty cycle limit of the LM34x8. For high step-up ratio designs the regulator can be configured to operate in discontinous conduction mode (DCM) to achieve the step up ratio.</t>
        </r>
      </text>
    </comment>
    <comment ref="G19" authorId="0">
      <text>
        <r>
          <rPr>
            <b/>
            <sz val="9"/>
            <rFont val="Tahoma"/>
            <charset val="134"/>
          </rPr>
          <t>CCM-DCM:</t>
        </r>
        <r>
          <rPr>
            <sz val="9"/>
            <rFont val="Tahoma"/>
            <charset val="134"/>
          </rPr>
          <t xml:space="preserve">
CCM = Continous Conduction Mode
DCM  = Discontinous Conduction Mode</t>
        </r>
      </text>
    </comment>
    <comment ref="G20" authorId="0">
      <text>
        <r>
          <rPr>
            <b/>
            <sz val="9"/>
            <rFont val="Tahoma"/>
            <charset val="134"/>
          </rPr>
          <t>Ripple Ratio</t>
        </r>
        <r>
          <rPr>
            <sz val="9"/>
            <rFont val="Tahoma"/>
            <charset val="134"/>
          </rPr>
          <t xml:space="preserve">
Select the maximum ripple ratio of the inductor current. The maximum ripple ratio occurs when the duty cycle is 33%. 
Typically a good maximum ripple current is in the 50% to 70% range. In this range there is a good trade off between efficiency and the minimum RHP zero frequency of the plant
If cell H19 is equal to 1, this input cell is not condsidered as DCM operation is required to achieve the desired ste-up ratio. For the case the maximum duty cycyle is set to be 70%.</t>
        </r>
      </text>
    </comment>
    <comment ref="G22" authorId="0">
      <text>
        <r>
          <rPr>
            <b/>
            <sz val="9"/>
            <rFont val="Tahoma"/>
            <charset val="134"/>
          </rPr>
          <t xml:space="preserve">Filter Inductance:
</t>
        </r>
        <r>
          <rPr>
            <sz val="9"/>
            <rFont val="Tahoma"/>
            <charset val="134"/>
          </rPr>
          <t xml:space="preserve">Enter the filter inductance here.
</t>
        </r>
      </text>
    </comment>
    <comment ref="G23" authorId="0">
      <text>
        <r>
          <rPr>
            <b/>
            <sz val="9"/>
            <rFont val="Tahoma"/>
            <charset val="134"/>
          </rPr>
          <t>Peak Inductor Current</t>
        </r>
        <r>
          <rPr>
            <sz val="9"/>
            <rFont val="Tahoma"/>
            <charset val="134"/>
          </rPr>
          <t xml:space="preserve">
Maximum peak inductor current during normal operation.  The peak current limit calculations are based on this value</t>
        </r>
      </text>
    </comment>
    <comment ref="G26" authorId="0">
      <text>
        <r>
          <rPr>
            <b/>
            <sz val="9"/>
            <rFont val="Tahoma"/>
            <charset val="134"/>
          </rPr>
          <t>Peak Current Limit Margin</t>
        </r>
        <r>
          <rPr>
            <sz val="9"/>
            <rFont val="Tahoma"/>
            <charset val="134"/>
          </rPr>
          <t xml:space="preserve">
Minimum value is 15%
Margin above the calculated peak inductor current. Margin must be given to allow for load transients and component tolerances.</t>
        </r>
      </text>
    </comment>
    <comment ref="G27" authorId="0">
      <text>
        <r>
          <rPr>
            <b/>
            <sz val="9"/>
            <rFont val="Tahoma"/>
            <charset val="134"/>
          </rPr>
          <t xml:space="preserve">Selected Peak Inductor Current Limt
</t>
        </r>
        <r>
          <rPr>
            <sz val="9"/>
            <rFont val="Tahoma"/>
            <charset val="134"/>
          </rPr>
          <t xml:space="preserve">
Peak inductor current limit based on the margin and the steady state peak inductor current at V</t>
        </r>
        <r>
          <rPr>
            <vertAlign val="subscript"/>
            <sz val="9"/>
            <rFont val="Tahoma"/>
            <charset val="134"/>
          </rPr>
          <t>IN_MIN</t>
        </r>
        <r>
          <rPr>
            <sz val="9"/>
            <rFont val="Tahoma"/>
            <charset val="134"/>
          </rPr>
          <t xml:space="preserve"> and maximum output current</t>
        </r>
      </text>
    </comment>
    <comment ref="G28" authorId="0">
      <text>
        <r>
          <rPr>
            <b/>
            <sz val="9"/>
            <rFont val="Tahoma"/>
            <charset val="134"/>
          </rPr>
          <t>Current Sense Resistor Calculation</t>
        </r>
        <r>
          <rPr>
            <sz val="9"/>
            <rFont val="Tahoma"/>
            <charset val="134"/>
          </rPr>
          <t xml:space="preserve">
Calculated current sense resistor based on the desired maximum peak current limit. 
</t>
        </r>
      </text>
    </comment>
    <comment ref="G40" authorId="0">
      <text>
        <r>
          <rPr>
            <sz val="11"/>
            <rFont val="Tahoma"/>
            <charset val="134"/>
          </rPr>
          <t>This is the desired load transient output voltage dip for the a 50% to 100% load step on the output.</t>
        </r>
        <r>
          <rPr>
            <sz val="9"/>
            <rFont val="Tahoma"/>
            <charset val="134"/>
          </rPr>
          <t xml:space="preserve">
</t>
        </r>
      </text>
    </comment>
    <comment ref="G59" authorId="0">
      <text>
        <r>
          <rPr>
            <b/>
            <sz val="9"/>
            <rFont val="Tahoma"/>
            <charset val="134"/>
          </rPr>
          <t xml:space="preserve">Changes the input voltage value. Allow for evaluation of the control loop ane efficiency at different input voltages.
</t>
        </r>
        <r>
          <rPr>
            <b/>
            <sz val="9"/>
            <color indexed="10"/>
            <rFont val="Tahoma"/>
            <charset val="134"/>
          </rPr>
          <t>The text in the cell is flagged red if:
-The variable input voltage is less than the minimum input voltage
-The variable input voltage is greater than the maximum input voltage</t>
        </r>
      </text>
    </comment>
  </commentList>
</comments>
</file>

<file path=xl/comments2.xml><?xml version="1.0" encoding="utf-8"?>
<comments xmlns="http://schemas.openxmlformats.org/spreadsheetml/2006/main">
  <authors>
    <author>BMC-BCS</author>
  </authors>
  <commentList>
    <comment ref="B21" authorId="0">
      <text>
        <r>
          <rPr>
            <b/>
            <sz val="9"/>
            <rFont val="Tahoma"/>
            <charset val="134"/>
          </rPr>
          <t xml:space="preserve">Forced off time limit? 
[1 True, 0 False]
Just comparing the maximum duty cycle of the IC and the ideal duty cycle of the step up ratio
</t>
        </r>
        <r>
          <rPr>
            <sz val="9"/>
            <rFont val="Tahoma"/>
            <charset val="134"/>
          </rPr>
          <t xml:space="preserve">
</t>
        </r>
      </text>
    </comment>
    <comment ref="K121" authorId="0">
      <text>
        <r>
          <rPr>
            <b/>
            <sz val="9"/>
            <rFont val="Tahoma"/>
            <charset val="134"/>
          </rPr>
          <t xml:space="preserve">Slope Compensation flag. If this flag is tripped there is not enough slope compensation. Double check the calculated values. 
</t>
        </r>
        <r>
          <rPr>
            <sz val="9"/>
            <rFont val="Tahoma"/>
            <charset val="134"/>
          </rPr>
          <t xml:space="preserve">
</t>
        </r>
      </text>
    </comment>
    <comment ref="K122" authorId="0">
      <text>
        <r>
          <rPr>
            <sz val="9"/>
            <rFont val="Tahoma"/>
            <charset val="134"/>
          </rPr>
          <t xml:space="preserve">Tripped if the current sense resistor results in a lower current limit
</t>
        </r>
      </text>
    </comment>
  </commentList>
</comments>
</file>

<file path=xl/comments3.xml><?xml version="1.0" encoding="utf-8"?>
<comments xmlns="http://schemas.openxmlformats.org/spreadsheetml/2006/main">
  <authors>
    <author>BMC-BCS</author>
  </authors>
  <commentList>
    <comment ref="V6" authorId="0">
      <text>
        <r>
          <rPr>
            <b/>
            <sz val="9"/>
            <rFont val="Tahoma"/>
            <charset val="134"/>
          </rPr>
          <t xml:space="preserve">1 = DCM operation
2 = CCM operation
</t>
        </r>
      </text>
    </comment>
    <comment ref="AG6" authorId="0">
      <text>
        <r>
          <rPr>
            <b/>
            <sz val="9"/>
            <rFont val="Tahoma"/>
            <charset val="134"/>
          </rPr>
          <t>BMC-BCS:</t>
        </r>
        <r>
          <rPr>
            <sz val="9"/>
            <rFont val="Tahoma"/>
            <charset val="134"/>
          </rPr>
          <t xml:space="preserve">
Estimating uisng Average current. Needs to be updated for RMS current
</t>
        </r>
      </text>
    </comment>
    <comment ref="AK6" authorId="0">
      <text>
        <r>
          <rPr>
            <b/>
            <sz val="9"/>
            <rFont val="Tahoma"/>
            <charset val="134"/>
          </rPr>
          <t>BMC-BCS:</t>
        </r>
        <r>
          <rPr>
            <sz val="9"/>
            <rFont val="Tahoma"/>
            <charset val="134"/>
          </rPr>
          <t xml:space="preserve">
Written for boost. Needs to be updated but no big rush
</t>
        </r>
      </text>
    </comment>
  </commentList>
</comments>
</file>

<file path=xl/comments4.xml><?xml version="1.0" encoding="utf-8"?>
<comments xmlns="http://schemas.openxmlformats.org/spreadsheetml/2006/main">
  <authors>
    <author>BMC-BCS</author>
  </authors>
  <commentList>
    <comment ref="O18" authorId="0">
      <text>
        <r>
          <rPr>
            <b/>
            <sz val="9"/>
            <rFont val="Tahoma"/>
            <charset val="134"/>
          </rPr>
          <t>BMC-BCS:</t>
        </r>
        <r>
          <rPr>
            <sz val="9"/>
            <rFont val="Tahoma"/>
            <charset val="134"/>
          </rPr>
          <t xml:space="preserve">
Need to make this log not linear at some point
</t>
        </r>
      </text>
    </comment>
  </commentList>
</comments>
</file>

<file path=xl/sharedStrings.xml><?xml version="1.0" encoding="utf-8"?>
<sst xmlns="http://schemas.openxmlformats.org/spreadsheetml/2006/main" count="983" uniqueCount="574">
  <si>
    <t>LM3478-88 DC/DC Coupled Inductor SEPIC Controller Design Tool</t>
  </si>
  <si>
    <t>ABOUT</t>
  </si>
  <si>
    <t>=Input Box</t>
  </si>
  <si>
    <t>TERMS OF USE</t>
  </si>
  <si>
    <t>October-2024</t>
  </si>
  <si>
    <t>Step 1: Design Specifications</t>
  </si>
  <si>
    <r>
      <rPr>
        <sz val="10"/>
        <color theme="1"/>
        <rFont val="Calibri"/>
        <charset val="134"/>
        <scheme val="minor"/>
      </rPr>
      <t>Minimum Input Supply Voltage , V</t>
    </r>
    <r>
      <rPr>
        <vertAlign val="subscript"/>
        <sz val="10"/>
        <color theme="1"/>
        <rFont val="Calibri"/>
        <charset val="134"/>
        <scheme val="minor"/>
      </rPr>
      <t>SUPPLY(min)</t>
    </r>
    <r>
      <rPr>
        <sz val="10"/>
        <color theme="1"/>
        <rFont val="Calibri"/>
        <charset val="134"/>
        <scheme val="minor"/>
      </rPr>
      <t xml:space="preserve"> </t>
    </r>
  </si>
  <si>
    <t>V</t>
  </si>
  <si>
    <r>
      <rPr>
        <sz val="10"/>
        <color theme="1"/>
        <rFont val="Calibri"/>
        <charset val="134"/>
        <scheme val="minor"/>
      </rPr>
      <t>Typical Input Supply Voltage, V</t>
    </r>
    <r>
      <rPr>
        <vertAlign val="subscript"/>
        <sz val="10"/>
        <color theme="1"/>
        <rFont val="Calibri"/>
        <charset val="134"/>
        <scheme val="minor"/>
      </rPr>
      <t>SUPPLY(typ)</t>
    </r>
    <r>
      <rPr>
        <sz val="10"/>
        <color theme="1"/>
        <rFont val="Calibri"/>
        <charset val="134"/>
        <scheme val="minor"/>
      </rPr>
      <t xml:space="preserve"> </t>
    </r>
  </si>
  <si>
    <r>
      <rPr>
        <sz val="10"/>
        <color theme="1"/>
        <rFont val="Calibri"/>
        <charset val="134"/>
        <scheme val="minor"/>
      </rPr>
      <t>Maximum Input Supply Voltage , V</t>
    </r>
    <r>
      <rPr>
        <vertAlign val="subscript"/>
        <sz val="10"/>
        <color theme="1"/>
        <rFont val="Calibri"/>
        <charset val="134"/>
        <scheme val="minor"/>
      </rPr>
      <t>SUPPLY(max)</t>
    </r>
    <r>
      <rPr>
        <sz val="10"/>
        <color theme="1"/>
        <rFont val="Calibri"/>
        <charset val="134"/>
        <scheme val="minor"/>
      </rPr>
      <t xml:space="preserve"> </t>
    </r>
  </si>
  <si>
    <r>
      <rPr>
        <sz val="10"/>
        <color theme="1"/>
        <rFont val="Calibri"/>
        <charset val="134"/>
        <scheme val="minor"/>
      </rPr>
      <t>Output Target Voltage, V</t>
    </r>
    <r>
      <rPr>
        <vertAlign val="subscript"/>
        <sz val="10"/>
        <color theme="1"/>
        <rFont val="Calibri"/>
        <charset val="134"/>
        <scheme val="minor"/>
      </rPr>
      <t>LOAD</t>
    </r>
    <r>
      <rPr>
        <sz val="10"/>
        <color theme="1"/>
        <rFont val="Calibri"/>
        <charset val="134"/>
        <scheme val="minor"/>
      </rPr>
      <t xml:space="preserve"> </t>
    </r>
  </si>
  <si>
    <r>
      <rPr>
        <sz val="10"/>
        <color theme="1"/>
        <rFont val="Calibri"/>
        <charset val="134"/>
        <scheme val="minor"/>
      </rPr>
      <t>Maximum Output Current , I</t>
    </r>
    <r>
      <rPr>
        <vertAlign val="subscript"/>
        <sz val="10"/>
        <color theme="1"/>
        <rFont val="Calibri"/>
        <charset val="134"/>
        <scheme val="minor"/>
      </rPr>
      <t>LOAD</t>
    </r>
    <r>
      <rPr>
        <sz val="10"/>
        <color theme="1"/>
        <rFont val="Calibri"/>
        <charset val="134"/>
        <scheme val="minor"/>
      </rPr>
      <t xml:space="preserve"> </t>
    </r>
  </si>
  <si>
    <t>A</t>
  </si>
  <si>
    <r>
      <rPr>
        <sz val="10"/>
        <color theme="1"/>
        <rFont val="Calibri"/>
        <charset val="134"/>
        <scheme val="minor"/>
      </rPr>
      <t>Free Running Switching Frequency, F</t>
    </r>
    <r>
      <rPr>
        <vertAlign val="subscript"/>
        <sz val="10"/>
        <color theme="1"/>
        <rFont val="Calibri"/>
        <charset val="134"/>
        <scheme val="minor"/>
      </rPr>
      <t>SW</t>
    </r>
  </si>
  <si>
    <t>kHz</t>
  </si>
  <si>
    <r>
      <rPr>
        <sz val="10"/>
        <color theme="1"/>
        <rFont val="Calibri"/>
        <charset val="134"/>
        <scheme val="minor"/>
      </rPr>
      <t>Free running Oscillator Set Resistor, R</t>
    </r>
    <r>
      <rPr>
        <vertAlign val="subscript"/>
        <sz val="10"/>
        <color theme="1"/>
        <rFont val="Calibri"/>
        <charset val="134"/>
        <scheme val="minor"/>
      </rPr>
      <t>T</t>
    </r>
  </si>
  <si>
    <r>
      <rPr>
        <sz val="11"/>
        <color theme="1"/>
        <rFont val="Calibri"/>
        <charset val="134"/>
        <scheme val="minor"/>
      </rPr>
      <t>k</t>
    </r>
    <r>
      <rPr>
        <sz val="11"/>
        <color theme="1"/>
        <rFont val="Calibri"/>
        <charset val="134"/>
      </rPr>
      <t>Ω</t>
    </r>
  </si>
  <si>
    <r>
      <rPr>
        <sz val="10"/>
        <color theme="1"/>
        <rFont val="Calibri"/>
        <charset val="134"/>
        <scheme val="minor"/>
      </rPr>
      <t>Output Power, P</t>
    </r>
    <r>
      <rPr>
        <vertAlign val="subscript"/>
        <sz val="10"/>
        <color theme="1"/>
        <rFont val="Calibri"/>
        <charset val="134"/>
        <scheme val="minor"/>
      </rPr>
      <t>OUT</t>
    </r>
    <r>
      <rPr>
        <sz val="10"/>
        <color theme="1"/>
        <rFont val="Calibri"/>
        <charset val="134"/>
        <scheme val="minor"/>
      </rPr>
      <t xml:space="preserve"> </t>
    </r>
  </si>
  <si>
    <t>W</t>
  </si>
  <si>
    <r>
      <rPr>
        <sz val="10"/>
        <color theme="1"/>
        <rFont val="Calibri"/>
        <charset val="134"/>
        <scheme val="minor"/>
      </rPr>
      <t>Recommended maximum duty cycle LM3478-88 at V</t>
    </r>
    <r>
      <rPr>
        <vertAlign val="subscript"/>
        <sz val="10"/>
        <color theme="1"/>
        <rFont val="Calibri"/>
        <charset val="134"/>
        <scheme val="minor"/>
      </rPr>
      <t>SUPPLY(MIN)</t>
    </r>
  </si>
  <si>
    <t>%</t>
  </si>
  <si>
    <r>
      <rPr>
        <sz val="10"/>
        <color theme="1"/>
        <rFont val="Calibri"/>
        <charset val="134"/>
        <scheme val="minor"/>
      </rPr>
      <t>Ideal Duty Cycle at V</t>
    </r>
    <r>
      <rPr>
        <vertAlign val="subscript"/>
        <sz val="10"/>
        <color theme="1"/>
        <rFont val="Calibri"/>
        <charset val="134"/>
        <scheme val="minor"/>
      </rPr>
      <t xml:space="preserve">SUPPLY(MIN) </t>
    </r>
  </si>
  <si>
    <t>Step 2: Filter Inductor</t>
  </si>
  <si>
    <t>Required Mode of Operation:</t>
  </si>
  <si>
    <r>
      <rPr>
        <sz val="10"/>
        <color theme="1"/>
        <rFont val="Calibri"/>
        <charset val="134"/>
        <scheme val="minor"/>
      </rPr>
      <t>Desired Maximum Inductor Current Ripple Ratio (I</t>
    </r>
    <r>
      <rPr>
        <vertAlign val="subscript"/>
        <sz val="10"/>
        <color theme="1"/>
        <rFont val="Calibri"/>
        <charset val="134"/>
        <scheme val="minor"/>
      </rPr>
      <t>RR_MAX</t>
    </r>
    <r>
      <rPr>
        <sz val="10"/>
        <color theme="1"/>
        <rFont val="Calibri"/>
        <charset val="134"/>
        <scheme val="minor"/>
      </rPr>
      <t>)</t>
    </r>
  </si>
  <si>
    <r>
      <rPr>
        <sz val="10"/>
        <color theme="1"/>
        <rFont val="Calibri"/>
        <charset val="134"/>
        <scheme val="minor"/>
      </rPr>
      <t>Recommended Inductance (L</t>
    </r>
    <r>
      <rPr>
        <vertAlign val="subscript"/>
        <sz val="10"/>
        <color theme="1"/>
        <rFont val="Calibri"/>
        <charset val="134"/>
        <scheme val="minor"/>
      </rPr>
      <t>M_CALC</t>
    </r>
    <r>
      <rPr>
        <sz val="10"/>
        <color theme="1"/>
        <rFont val="Calibri"/>
        <charset val="134"/>
        <scheme val="minor"/>
      </rPr>
      <t>)</t>
    </r>
  </si>
  <si>
    <t>uH</t>
  </si>
  <si>
    <r>
      <rPr>
        <sz val="10"/>
        <color theme="1"/>
        <rFont val="Calibri"/>
        <charset val="134"/>
        <scheme val="minor"/>
      </rPr>
      <t>User Selection. Inductance, (L</t>
    </r>
    <r>
      <rPr>
        <vertAlign val="subscript"/>
        <sz val="10"/>
        <color theme="1"/>
        <rFont val="Calibri"/>
        <charset val="134"/>
        <scheme val="minor"/>
      </rPr>
      <t>M</t>
    </r>
    <r>
      <rPr>
        <sz val="10"/>
        <color theme="1"/>
        <rFont val="Calibri"/>
        <charset val="134"/>
        <scheme val="minor"/>
      </rPr>
      <t>)</t>
    </r>
  </si>
  <si>
    <r>
      <rPr>
        <sz val="10"/>
        <color theme="1"/>
        <rFont val="Calibri"/>
        <charset val="134"/>
        <scheme val="minor"/>
      </rPr>
      <t>Peak inductor current, IL</t>
    </r>
    <r>
      <rPr>
        <vertAlign val="subscript"/>
        <sz val="10"/>
        <color theme="1"/>
        <rFont val="Calibri"/>
        <charset val="134"/>
        <scheme val="minor"/>
      </rPr>
      <t>PK</t>
    </r>
  </si>
  <si>
    <t>Step 3: Current Sense Resistor Selection</t>
  </si>
  <si>
    <t>Peak Current Limit Margin</t>
  </si>
  <si>
    <r>
      <rPr>
        <sz val="11"/>
        <color theme="1"/>
        <rFont val="Calibri"/>
        <charset val="134"/>
        <scheme val="minor"/>
      </rPr>
      <t>Selected Peak Current limit (IL</t>
    </r>
    <r>
      <rPr>
        <vertAlign val="subscript"/>
        <sz val="11"/>
        <color theme="1"/>
        <rFont val="Calibri"/>
        <charset val="134"/>
        <scheme val="minor"/>
      </rPr>
      <t>SW_select</t>
    </r>
    <r>
      <rPr>
        <sz val="11"/>
        <color theme="1"/>
        <rFont val="Calibri"/>
        <charset val="134"/>
        <scheme val="minor"/>
      </rPr>
      <t>)</t>
    </r>
  </si>
  <si>
    <r>
      <rPr>
        <sz val="11"/>
        <color theme="1"/>
        <rFont val="Calibri"/>
        <charset val="134"/>
        <scheme val="minor"/>
      </rPr>
      <t>Recommended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</si>
  <si>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m</t>
    </r>
    <r>
      <rPr>
        <sz val="11"/>
        <color theme="1"/>
        <rFont val="Calibri"/>
        <charset val="134"/>
      </rPr>
      <t>Ω</t>
    </r>
  </si>
  <si>
    <r>
      <rPr>
        <sz val="11"/>
        <color theme="1"/>
        <rFont val="Calibri"/>
        <charset val="134"/>
        <scheme val="minor"/>
      </rPr>
      <t>Recommended external slope compensation Resistor (R</t>
    </r>
    <r>
      <rPr>
        <vertAlign val="subscript"/>
        <sz val="11"/>
        <color theme="1"/>
        <rFont val="Calibri"/>
        <charset val="134"/>
        <scheme val="minor"/>
      </rPr>
      <t>SL</t>
    </r>
    <r>
      <rPr>
        <sz val="11"/>
        <color theme="1"/>
        <rFont val="Calibri"/>
        <charset val="134"/>
        <scheme val="minor"/>
      </rPr>
      <t>)</t>
    </r>
  </si>
  <si>
    <t>Ω</t>
  </si>
  <si>
    <r>
      <rPr>
        <sz val="11"/>
        <color theme="1"/>
        <rFont val="Calibri"/>
        <charset val="134"/>
        <scheme val="minor"/>
      </rPr>
      <t>Selected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</si>
  <si>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Selected external slope compensation Resistor (R</t>
    </r>
    <r>
      <rPr>
        <vertAlign val="subscript"/>
        <sz val="11"/>
        <color theme="1"/>
        <rFont val="Calibri"/>
        <charset val="134"/>
        <scheme val="minor"/>
      </rPr>
      <t>SL</t>
    </r>
    <r>
      <rPr>
        <sz val="11"/>
        <color theme="1"/>
        <rFont val="Calibri"/>
        <charset val="134"/>
        <scheme val="minor"/>
      </rPr>
      <t>)</t>
    </r>
  </si>
  <si>
    <t>Actual switch peak current limit</t>
  </si>
  <si>
    <r>
      <rPr>
        <b/>
        <sz val="11"/>
        <color rgb="FF0070C0"/>
        <rFont val="Calibri"/>
        <charset val="134"/>
        <scheme val="minor"/>
      </rPr>
      <t>Step 4: C</t>
    </r>
    <r>
      <rPr>
        <b/>
        <vertAlign val="subscript"/>
        <sz val="11"/>
        <color rgb="FF0070C0"/>
        <rFont val="Calibri"/>
        <charset val="134"/>
        <scheme val="minor"/>
      </rPr>
      <t>AC</t>
    </r>
    <r>
      <rPr>
        <b/>
        <sz val="11"/>
        <color rgb="FF0070C0"/>
        <rFont val="Calibri"/>
        <charset val="134"/>
        <scheme val="minor"/>
      </rPr>
      <t xml:space="preserve"> Capacitor Selection</t>
    </r>
  </si>
  <si>
    <r>
      <rPr>
        <sz val="11"/>
        <color theme="1"/>
        <rFont val="Calibri"/>
        <charset val="134"/>
        <scheme val="minor"/>
      </rPr>
      <t>Minimum couplpling capacitor value (C</t>
    </r>
    <r>
      <rPr>
        <vertAlign val="subscript"/>
        <sz val="11"/>
        <color theme="1"/>
        <rFont val="Calibri"/>
        <charset val="134"/>
        <scheme val="minor"/>
      </rPr>
      <t>AC_min</t>
    </r>
    <r>
      <rPr>
        <sz val="11"/>
        <color theme="1"/>
        <rFont val="Calibri"/>
        <charset val="134"/>
        <scheme val="minor"/>
      </rPr>
      <t>)</t>
    </r>
  </si>
  <si>
    <t>uF</t>
  </si>
  <si>
    <r>
      <rPr>
        <sz val="11"/>
        <color theme="1"/>
        <rFont val="Calibri"/>
        <charset val="134"/>
        <scheme val="minor"/>
      </rPr>
      <t>Selected Coupling Capacitor (C</t>
    </r>
    <r>
      <rPr>
        <vertAlign val="subscript"/>
        <sz val="11"/>
        <color theme="1"/>
        <rFont val="Calibri"/>
        <charset val="134"/>
        <scheme val="minor"/>
      </rPr>
      <t>AC</t>
    </r>
    <r>
      <rPr>
        <sz val="11"/>
        <color theme="1"/>
        <rFont val="Calibri"/>
        <charset val="134"/>
        <scheme val="minor"/>
      </rPr>
      <t>)</t>
    </r>
  </si>
  <si>
    <r>
      <rPr>
        <sz val="11"/>
        <color theme="1"/>
        <rFont val="Calibri"/>
        <charset val="134"/>
        <scheme val="minor"/>
      </rPr>
      <t>Minimuum require C</t>
    </r>
    <r>
      <rPr>
        <vertAlign val="subscript"/>
        <sz val="11"/>
        <color theme="1"/>
        <rFont val="Calibri"/>
        <charset val="134"/>
        <scheme val="minor"/>
      </rPr>
      <t>AC</t>
    </r>
    <r>
      <rPr>
        <sz val="11"/>
        <color theme="1"/>
        <rFont val="Calibri"/>
        <charset val="134"/>
        <scheme val="minor"/>
      </rPr>
      <t xml:space="preserve"> RMS current Rating</t>
    </r>
  </si>
  <si>
    <t>Step 5: Output Capacitor Selection</t>
  </si>
  <si>
    <r>
      <rPr>
        <sz val="11"/>
        <color theme="1"/>
        <rFont val="Calibri"/>
        <charset val="134"/>
        <scheme val="minor"/>
      </rPr>
      <t>Desired load step ripple voltage (</t>
    </r>
    <r>
      <rPr>
        <sz val="11"/>
        <color theme="1"/>
        <rFont val="Calibri"/>
        <charset val="134"/>
      </rPr>
      <t>Δv</t>
    </r>
    <r>
      <rPr>
        <vertAlign val="subscript"/>
        <sz val="11"/>
        <color theme="1"/>
        <rFont val="Calibri"/>
        <charset val="134"/>
      </rPr>
      <t>OUT</t>
    </r>
    <r>
      <rPr>
        <sz val="11"/>
        <color theme="1"/>
        <rFont val="Calibri"/>
        <charset val="134"/>
      </rPr>
      <t>)</t>
    </r>
  </si>
  <si>
    <t>mV</t>
  </si>
  <si>
    <t xml:space="preserve">Minimum output capacitance </t>
  </si>
  <si>
    <r>
      <rPr>
        <sz val="11"/>
        <color theme="1"/>
        <rFont val="Calibri"/>
        <charset val="134"/>
        <scheme val="minor"/>
      </rPr>
      <t>Capacitor RMS current (I</t>
    </r>
    <r>
      <rPr>
        <vertAlign val="subscript"/>
        <sz val="11"/>
        <color theme="1"/>
        <rFont val="Calibri"/>
        <charset val="134"/>
        <scheme val="minor"/>
      </rPr>
      <t>RMS_COUT</t>
    </r>
    <r>
      <rPr>
        <sz val="11"/>
        <color theme="1"/>
        <rFont val="Calibri"/>
        <charset val="134"/>
        <scheme val="minor"/>
      </rPr>
      <t>)</t>
    </r>
  </si>
  <si>
    <r>
      <rPr>
        <sz val="11"/>
        <color theme="1"/>
        <rFont val="Calibri"/>
        <charset val="134"/>
        <scheme val="minor"/>
      </rPr>
      <t>Selected Output Capacitance (C</t>
    </r>
    <r>
      <rPr>
        <vertAlign val="subscript"/>
        <sz val="11"/>
        <color theme="1"/>
        <rFont val="Calibri"/>
        <charset val="134"/>
        <scheme val="minor"/>
      </rPr>
      <t>OUT</t>
    </r>
    <r>
      <rPr>
        <sz val="11"/>
        <color theme="1"/>
        <rFont val="Calibri"/>
        <charset val="134"/>
        <scheme val="minor"/>
      </rPr>
      <t>)</t>
    </r>
  </si>
  <si>
    <r>
      <rPr>
        <sz val="11"/>
        <color theme="1"/>
        <rFont val="Calibri"/>
        <charset val="134"/>
        <scheme val="minor"/>
      </rPr>
      <t>Equivalent  COUT ESR (R</t>
    </r>
    <r>
      <rPr>
        <vertAlign val="subscript"/>
        <sz val="11"/>
        <color theme="1"/>
        <rFont val="Calibri"/>
        <charset val="134"/>
        <scheme val="minor"/>
      </rPr>
      <t>ESR</t>
    </r>
    <r>
      <rPr>
        <sz val="11"/>
        <color theme="1"/>
        <rFont val="Calibri"/>
        <charset val="134"/>
        <scheme val="minor"/>
      </rPr>
      <t>)</t>
    </r>
  </si>
  <si>
    <t>Step  6: Loop Compensation</t>
  </si>
  <si>
    <r>
      <rPr>
        <sz val="11"/>
        <rFont val="Calibri"/>
        <charset val="134"/>
        <scheme val="minor"/>
      </rPr>
      <t>Voltage selected (V</t>
    </r>
    <r>
      <rPr>
        <vertAlign val="subscript"/>
        <sz val="11"/>
        <rFont val="Calibri"/>
        <charset val="134"/>
        <scheme val="minor"/>
      </rPr>
      <t>IN_VAR</t>
    </r>
    <r>
      <rPr>
        <sz val="11"/>
        <rFont val="Calibri"/>
        <charset val="134"/>
        <scheme val="minor"/>
      </rPr>
      <t>)</t>
    </r>
  </si>
  <si>
    <t>Feedback Resistor Selection</t>
  </si>
  <si>
    <r>
      <rPr>
        <sz val="11"/>
        <color theme="1"/>
        <rFont val="Calibri"/>
        <charset val="134"/>
        <scheme val="minor"/>
      </rPr>
      <t>Select a top feedback resistor(R</t>
    </r>
    <r>
      <rPr>
        <vertAlign val="subscript"/>
        <sz val="11"/>
        <color theme="1"/>
        <rFont val="Calibri"/>
        <charset val="134"/>
        <scheme val="minor"/>
      </rPr>
      <t>FBT</t>
    </r>
    <r>
      <rPr>
        <sz val="11"/>
        <color theme="1"/>
        <rFont val="Calibri"/>
        <charset val="134"/>
        <scheme val="minor"/>
      </rPr>
      <t>)</t>
    </r>
  </si>
  <si>
    <t>kΩ</t>
  </si>
  <si>
    <r>
      <rPr>
        <sz val="11"/>
        <color theme="1"/>
        <rFont val="Calibri"/>
        <charset val="134"/>
        <scheme val="minor"/>
      </rPr>
      <t>Calculated bottom feedback resistor (R</t>
    </r>
    <r>
      <rPr>
        <vertAlign val="subscript"/>
        <sz val="11"/>
        <color theme="1"/>
        <rFont val="Calibri"/>
        <charset val="134"/>
        <scheme val="minor"/>
      </rPr>
      <t>FBB_cala</t>
    </r>
    <r>
      <rPr>
        <sz val="11"/>
        <color theme="1"/>
        <rFont val="Calibri"/>
        <charset val="134"/>
        <scheme val="minor"/>
      </rPr>
      <t>)</t>
    </r>
  </si>
  <si>
    <r>
      <rPr>
        <sz val="11"/>
        <color theme="1"/>
        <rFont val="Calibri"/>
        <charset val="134"/>
        <scheme val="minor"/>
      </rPr>
      <t>Select a bottomresistor based on calculated balue(R</t>
    </r>
    <r>
      <rPr>
        <vertAlign val="subscript"/>
        <sz val="11"/>
        <color theme="1"/>
        <rFont val="Calibri"/>
        <charset val="134"/>
        <scheme val="minor"/>
      </rPr>
      <t>FBB</t>
    </r>
    <r>
      <rPr>
        <sz val="11"/>
        <color theme="1"/>
        <rFont val="Calibri"/>
        <charset val="134"/>
        <scheme val="minor"/>
      </rPr>
      <t>)</t>
    </r>
  </si>
  <si>
    <t>Suggested bandwidth</t>
  </si>
  <si>
    <r>
      <rPr>
        <sz val="11"/>
        <color theme="1"/>
        <rFont val="Calibri"/>
        <charset val="134"/>
        <scheme val="minor"/>
      </rPr>
      <t>Selected band width (F</t>
    </r>
    <r>
      <rPr>
        <vertAlign val="subscript"/>
        <sz val="11"/>
        <color theme="1"/>
        <rFont val="Calibri"/>
        <charset val="134"/>
        <scheme val="minor"/>
      </rPr>
      <t>CO</t>
    </r>
    <r>
      <rPr>
        <sz val="11"/>
        <color theme="1"/>
        <rFont val="Calibri"/>
        <charset val="134"/>
        <scheme val="minor"/>
      </rPr>
      <t>)</t>
    </r>
  </si>
  <si>
    <t>Calculated</t>
  </si>
  <si>
    <t>Selected</t>
  </si>
  <si>
    <r>
      <rPr>
        <sz val="11"/>
        <color theme="1"/>
        <rFont val="Calibri"/>
        <charset val="134"/>
        <scheme val="minor"/>
      </rPr>
      <t>R</t>
    </r>
    <r>
      <rPr>
        <vertAlign val="subscript"/>
        <sz val="11"/>
        <color theme="1"/>
        <rFont val="Calibri"/>
        <charset val="134"/>
        <scheme val="minor"/>
      </rPr>
      <t>COMP</t>
    </r>
  </si>
  <si>
    <r>
      <rPr>
        <sz val="11"/>
        <color theme="1"/>
        <rFont val="Calibri"/>
        <charset val="134"/>
        <scheme val="minor"/>
      </rPr>
      <t>C</t>
    </r>
    <r>
      <rPr>
        <vertAlign val="subscript"/>
        <sz val="11"/>
        <color theme="1"/>
        <rFont val="Calibri"/>
        <charset val="134"/>
        <scheme val="minor"/>
      </rPr>
      <t>COMP</t>
    </r>
  </si>
  <si>
    <t>nF</t>
  </si>
  <si>
    <r>
      <rPr>
        <sz val="11"/>
        <color theme="1"/>
        <rFont val="Calibri"/>
        <charset val="134"/>
        <scheme val="minor"/>
      </rPr>
      <t>C</t>
    </r>
    <r>
      <rPr>
        <vertAlign val="subscript"/>
        <sz val="11"/>
        <color theme="1"/>
        <rFont val="Calibri"/>
        <charset val="134"/>
        <scheme val="minor"/>
      </rPr>
      <t>HF</t>
    </r>
  </si>
  <si>
    <t>pF</t>
  </si>
  <si>
    <t>Efficiency / Power Loss Analyzer</t>
  </si>
  <si>
    <t>MOSFET parameters</t>
  </si>
  <si>
    <r>
      <rPr>
        <sz val="10"/>
        <rFont val="Arial"/>
        <charset val="134"/>
      </rPr>
      <t>On-State Resistance, R</t>
    </r>
    <r>
      <rPr>
        <vertAlign val="subscript"/>
        <sz val="10"/>
        <rFont val="Arial"/>
        <charset val="134"/>
      </rPr>
      <t>DS(on)</t>
    </r>
    <r>
      <rPr>
        <sz val="10"/>
        <rFont val="Arial"/>
        <charset val="134"/>
      </rPr>
      <t xml:space="preserve"> </t>
    </r>
  </si>
  <si>
    <t>mΩ</t>
  </si>
  <si>
    <r>
      <rPr>
        <sz val="10"/>
        <rFont val="Arial"/>
        <charset val="134"/>
      </rPr>
      <t>Total Gate Charge, Q</t>
    </r>
    <r>
      <rPr>
        <vertAlign val="subscript"/>
        <sz val="10"/>
        <rFont val="Arial"/>
        <charset val="134"/>
      </rPr>
      <t>G</t>
    </r>
    <r>
      <rPr>
        <sz val="10"/>
        <rFont val="Arial"/>
        <charset val="134"/>
      </rPr>
      <t xml:space="preserve"> </t>
    </r>
  </si>
  <si>
    <t>nC</t>
  </si>
  <si>
    <r>
      <rPr>
        <sz val="10"/>
        <rFont val="Arial"/>
        <charset val="134"/>
      </rPr>
      <t>Gate-Drain Charge, Q</t>
    </r>
    <r>
      <rPr>
        <vertAlign val="subscript"/>
        <sz val="10"/>
        <rFont val="Arial"/>
        <charset val="134"/>
      </rPr>
      <t>GD</t>
    </r>
    <r>
      <rPr>
        <sz val="10"/>
        <rFont val="Arial"/>
        <charset val="134"/>
      </rPr>
      <t xml:space="preserve"> </t>
    </r>
  </si>
  <si>
    <r>
      <rPr>
        <sz val="10"/>
        <rFont val="Arial"/>
        <charset val="134"/>
      </rPr>
      <t>Gate-Source Charge, Q</t>
    </r>
    <r>
      <rPr>
        <vertAlign val="subscript"/>
        <sz val="10"/>
        <rFont val="Arial"/>
        <charset val="134"/>
      </rPr>
      <t>GS</t>
    </r>
    <r>
      <rPr>
        <sz val="10"/>
        <rFont val="Arial"/>
        <charset val="134"/>
      </rPr>
      <t xml:space="preserve"> </t>
    </r>
  </si>
  <si>
    <r>
      <rPr>
        <sz val="10"/>
        <rFont val="Arial"/>
        <charset val="134"/>
      </rPr>
      <t>Gate Resistance, R</t>
    </r>
    <r>
      <rPr>
        <vertAlign val="subscript"/>
        <sz val="10"/>
        <rFont val="Arial"/>
        <charset val="134"/>
      </rPr>
      <t>G</t>
    </r>
    <r>
      <rPr>
        <sz val="10"/>
        <rFont val="Arial"/>
        <charset val="134"/>
      </rPr>
      <t xml:space="preserve"> </t>
    </r>
  </si>
  <si>
    <t>Ω</t>
  </si>
  <si>
    <r>
      <rPr>
        <sz val="10"/>
        <rFont val="Arial"/>
        <charset val="134"/>
      </rPr>
      <t>Transconductance, g</t>
    </r>
    <r>
      <rPr>
        <vertAlign val="subscript"/>
        <sz val="10"/>
        <rFont val="Arial"/>
        <charset val="134"/>
      </rPr>
      <t>FS</t>
    </r>
    <r>
      <rPr>
        <sz val="10"/>
        <rFont val="Arial"/>
        <charset val="134"/>
      </rPr>
      <t xml:space="preserve"> </t>
    </r>
  </si>
  <si>
    <t>S</t>
  </si>
  <si>
    <r>
      <rPr>
        <sz val="10"/>
        <rFont val="Arial"/>
        <charset val="134"/>
      </rPr>
      <t>Gate-Source Threshold Voltage, V</t>
    </r>
    <r>
      <rPr>
        <vertAlign val="subscript"/>
        <sz val="10"/>
        <rFont val="Arial"/>
        <charset val="134"/>
      </rPr>
      <t>TH</t>
    </r>
    <r>
      <rPr>
        <sz val="10"/>
        <rFont val="Arial"/>
        <charset val="134"/>
      </rPr>
      <t xml:space="preserve"> </t>
    </r>
  </si>
  <si>
    <t>Diode Parameters</t>
  </si>
  <si>
    <r>
      <rPr>
        <sz val="11"/>
        <color theme="1"/>
        <rFont val="Calibri"/>
        <charset val="134"/>
        <scheme val="minor"/>
      </rPr>
      <t>Recommended minimum average current rating (I</t>
    </r>
    <r>
      <rPr>
        <vertAlign val="subscript"/>
        <sz val="11"/>
        <color theme="1"/>
        <rFont val="Calibri"/>
        <charset val="134"/>
        <scheme val="minor"/>
      </rPr>
      <t>D_AVG</t>
    </r>
    <r>
      <rPr>
        <sz val="11"/>
        <color theme="1"/>
        <rFont val="Calibri"/>
        <charset val="134"/>
        <scheme val="minor"/>
      </rPr>
      <t>)</t>
    </r>
  </si>
  <si>
    <r>
      <rPr>
        <sz val="11"/>
        <color theme="1"/>
        <rFont val="Calibri"/>
        <charset val="134"/>
        <scheme val="minor"/>
      </rPr>
      <t>Forward Voltage Drop (V</t>
    </r>
    <r>
      <rPr>
        <vertAlign val="subscript"/>
        <sz val="11"/>
        <color theme="1"/>
        <rFont val="Calibri"/>
        <charset val="134"/>
        <scheme val="minor"/>
      </rPr>
      <t>D</t>
    </r>
    <r>
      <rPr>
        <sz val="11"/>
        <color theme="1"/>
        <rFont val="Calibri"/>
        <charset val="134"/>
        <scheme val="minor"/>
      </rPr>
      <t>)</t>
    </r>
  </si>
  <si>
    <t>Reverse recovery charge of Schottky  Diode (QRR)</t>
  </si>
  <si>
    <t>Version Number</t>
  </si>
  <si>
    <t>1.0.0</t>
  </si>
  <si>
    <t>Version History</t>
  </si>
  <si>
    <t>Version</t>
  </si>
  <si>
    <t>Change List Description</t>
  </si>
  <si>
    <t>Initial Release</t>
  </si>
  <si>
    <t>EXCEL Variables Names/Calculations</t>
  </si>
  <si>
    <t>Input from user =</t>
  </si>
  <si>
    <t>Output =</t>
  </si>
  <si>
    <t xml:space="preserve">Base Calculations of </t>
  </si>
  <si>
    <t>Spec conditions</t>
  </si>
  <si>
    <t>Nominal right now</t>
  </si>
  <si>
    <t>Constant</t>
  </si>
  <si>
    <t>Variable Name</t>
  </si>
  <si>
    <t>Value</t>
  </si>
  <si>
    <t>STD Units</t>
  </si>
  <si>
    <t>Notes</t>
  </si>
  <si>
    <t>Iteration</t>
  </si>
  <si>
    <t>Flag</t>
  </si>
  <si>
    <t>Step 1: Operational Specs</t>
  </si>
  <si>
    <t>VIN_min</t>
  </si>
  <si>
    <t>Minimum input voltage</t>
  </si>
  <si>
    <t>VIN_nom</t>
  </si>
  <si>
    <t>Nominal input voltage</t>
  </si>
  <si>
    <t>VIN_max</t>
  </si>
  <si>
    <t>Maximum input voltage</t>
  </si>
  <si>
    <t>Fsw</t>
  </si>
  <si>
    <t>Hz</t>
  </si>
  <si>
    <t xml:space="preserve">Switching frequnecy </t>
  </si>
  <si>
    <t>RT</t>
  </si>
  <si>
    <t>Oscillator Set resistor. Based on the datasheet equation</t>
  </si>
  <si>
    <t>VOUT</t>
  </si>
  <si>
    <t>Target Output Voltage</t>
  </si>
  <si>
    <t>IOUT</t>
  </si>
  <si>
    <t>Maximum Output current</t>
  </si>
  <si>
    <t>ROUT</t>
  </si>
  <si>
    <t>Minimum load resistance</t>
  </si>
  <si>
    <t>POUT</t>
  </si>
  <si>
    <t>Total output power</t>
  </si>
  <si>
    <t>EFF_est</t>
  </si>
  <si>
    <t xml:space="preserve">Estimated efficiency. Assuming 95% to give some margin </t>
  </si>
  <si>
    <t>Dc_max_ideal</t>
  </si>
  <si>
    <t>Maximum duty cycle at the minimum input voltage. Includes estimated efficiency for margin</t>
  </si>
  <si>
    <t>Dc_max_IC</t>
  </si>
  <si>
    <t>Maximum IC duty cycle. Based on the forced off time. See Mathcad Calculations</t>
  </si>
  <si>
    <t>DCM_Flag</t>
  </si>
  <si>
    <t>Is discontinuous conduction mode required to achieve step up ratio?</t>
  </si>
  <si>
    <t>*Note right now DCM is not active for SEPIC calculations</t>
  </si>
  <si>
    <t>IL_coupled</t>
  </si>
  <si>
    <r>
      <rPr>
        <sz val="11"/>
        <color theme="1"/>
        <rFont val="Calibri"/>
        <charset val="134"/>
        <scheme val="minor"/>
      </rPr>
      <t xml:space="preserve">are the inductors coupled? (1 = Yes, 0 = No). </t>
    </r>
    <r>
      <rPr>
        <b/>
        <sz val="11"/>
        <color theme="1"/>
        <rFont val="Calibri"/>
        <charset val="134"/>
        <scheme val="minor"/>
      </rPr>
      <t>This will be an option in future revisions</t>
    </r>
  </si>
  <si>
    <t>CCM Operation calculations</t>
  </si>
  <si>
    <t>Calculate the inductor at nominal voltage. This should allow for the best efficiency</t>
  </si>
  <si>
    <t>ILrip</t>
  </si>
  <si>
    <t>Selected indutor ripple ratio. Will be changed later to a standard value just to keep things simple</t>
  </si>
  <si>
    <t>Lopt_2</t>
  </si>
  <si>
    <t>H</t>
  </si>
  <si>
    <t>This value used to make the selection for CCM calculations. This is done at the Nominal input voltage</t>
  </si>
  <si>
    <t>DCM Strategy</t>
  </si>
  <si>
    <t>"Currently this is set of a boost Converter. Will need to change when Supporting DCM Calculation</t>
  </si>
  <si>
    <t>DC_DCM_max</t>
  </si>
  <si>
    <t>Maximum duty cycle for DCM operation. 70% is a good starting point. Could be related to the switching frequency</t>
  </si>
  <si>
    <t>L_DCM_DC</t>
  </si>
  <si>
    <t>Select DCM duty cycle to be 70%. This will keep the ripple current fairly low and allow for efficiency drops.</t>
  </si>
  <si>
    <t>M_L_DCM</t>
  </si>
  <si>
    <t>Margin to allow for inductor ripple current to be greater than the average input current</t>
  </si>
  <si>
    <t>L_DCM_M</t>
  </si>
  <si>
    <t xml:space="preserve">Inductor value that ensures the ripple current is larger than the average input current </t>
  </si>
  <si>
    <t>L_DCM</t>
  </si>
  <si>
    <t>Select the lowest of the two inductor value calculations</t>
  </si>
  <si>
    <t>Lm_calc</t>
  </si>
  <si>
    <t>If DCM is required (high step-up ratio) output L_DCM. Otherwise output the CCM inductor value</t>
  </si>
  <si>
    <t>Lm</t>
  </si>
  <si>
    <t>Selected filter inductor</t>
  </si>
  <si>
    <t>Input from user for uncoupled design</t>
  </si>
  <si>
    <t>Lm_A</t>
  </si>
  <si>
    <t>Input coil inductance</t>
  </si>
  <si>
    <t>Lm_B</t>
  </si>
  <si>
    <t>Output coil inductance</t>
  </si>
  <si>
    <t>Rdcr</t>
  </si>
  <si>
    <t>Filter inductor DCR</t>
  </si>
  <si>
    <t>Ltol</t>
  </si>
  <si>
    <t>Assumed inductor tolerance. Constant to help simplify the user experience</t>
  </si>
  <si>
    <t>.</t>
  </si>
  <si>
    <t>Duty Cycle Calculations</t>
  </si>
  <si>
    <t>Minium input voltage</t>
  </si>
  <si>
    <t>DCc_mode_VIN_min</t>
  </si>
  <si>
    <r>
      <rPr>
        <sz val="11"/>
        <color theme="1"/>
        <rFont val="Calibri"/>
        <charset val="134"/>
        <scheme val="minor"/>
      </rPr>
      <t xml:space="preserve">Flags if the regulator is operating in CCM or DCM (1 = CCM, 0 = DCM). </t>
    </r>
    <r>
      <rPr>
        <b/>
        <sz val="11"/>
        <color theme="1"/>
        <rFont val="Calibri"/>
        <charset val="134"/>
        <scheme val="minor"/>
      </rPr>
      <t>*Currently set to CCM all the time to enusure the calculations are correct for CCM</t>
    </r>
  </si>
  <si>
    <t>Dc_VIN_min</t>
  </si>
  <si>
    <t>Duty cycle at the mimum input voltage (CCM). DCM is modeled for coupled inductor equations. Needs to me modeld of uncoupled inductors</t>
  </si>
  <si>
    <t>s</t>
  </si>
  <si>
    <t>On-time of the switch</t>
  </si>
  <si>
    <t>Input coil currents</t>
  </si>
  <si>
    <t>ILA_avg_VIN_min</t>
  </si>
  <si>
    <t>Average input current at minimum input voltage. 100% Eff assumed</t>
  </si>
  <si>
    <t>ILArip_VINmin</t>
  </si>
  <si>
    <t xml:space="preserve">Inductor ripple current at VIN min. </t>
  </si>
  <si>
    <t>ILAp_VINmin</t>
  </si>
  <si>
    <t>Peak inductor current at VIN min. Including estimated efficiency</t>
  </si>
  <si>
    <t>Output coil currents</t>
  </si>
  <si>
    <t>Outout coil inductor calculations</t>
  </si>
  <si>
    <t>ILB_avg_VIN_min</t>
  </si>
  <si>
    <t>ILBrip_VINmin</t>
  </si>
  <si>
    <t>ILBp_VINmin</t>
  </si>
  <si>
    <t>Switch currents</t>
  </si>
  <si>
    <t>ISW_peak_VIN_min</t>
  </si>
  <si>
    <t>DCc_mode_VIN_nom</t>
  </si>
  <si>
    <t>Flags if the regulator is operating in CCM or DCM (1 = CCM, 0 = DCM)</t>
  </si>
  <si>
    <t>Dc_VIN_nom</t>
  </si>
  <si>
    <t>Duty cycle at the nominal input voltage (CCM) (First order/ ideal equation)</t>
  </si>
  <si>
    <t>ILA_avg_VIN_nom</t>
  </si>
  <si>
    <t>Average input current at nominal input voltage. 100% Eff assumed</t>
  </si>
  <si>
    <t>ILArip_VINnom</t>
  </si>
  <si>
    <t xml:space="preserve">Inductor ripple current at VIN nom. </t>
  </si>
  <si>
    <t>ILAp_VINnom</t>
  </si>
  <si>
    <t>Peak inductor current at VIN nom. Including estimated efficiency</t>
  </si>
  <si>
    <t>ILB_avg_VIN_nom</t>
  </si>
  <si>
    <t>ILBrip_VIN_nom</t>
  </si>
  <si>
    <t>ILBp_VIN_nom</t>
  </si>
  <si>
    <t>ISW_peak_VIN_nom</t>
  </si>
  <si>
    <t>DCc_mode_VIN_max</t>
  </si>
  <si>
    <t>Dc_VIN_max</t>
  </si>
  <si>
    <t>Duty cycle at the maximum input voltage (CCM) (First order/ ideal equation)</t>
  </si>
  <si>
    <t>ILA_avg_VIN_max</t>
  </si>
  <si>
    <t>Average input current at maximum input voltage. 100% Eff assumed</t>
  </si>
  <si>
    <t>ILArip_VINmax</t>
  </si>
  <si>
    <t xml:space="preserve">Inductor ripple current at VIN max. </t>
  </si>
  <si>
    <t>ILAp_VINmax</t>
  </si>
  <si>
    <t>Peak inductor current at VIN max. Including estimated efficiency</t>
  </si>
  <si>
    <t>ILB_avg_VIN_max</t>
  </si>
  <si>
    <t>ILBrip_VIN_max</t>
  </si>
  <si>
    <t>ILBp_VIN_max</t>
  </si>
  <si>
    <t>ISW_peak_VIN_max</t>
  </si>
  <si>
    <t>Step 3: Current Sense Resistor</t>
  </si>
  <si>
    <t>Ipk_margin</t>
  </si>
  <si>
    <t>Peak current limit margin. 20% is a typical value</t>
  </si>
  <si>
    <t>Ipk_selected</t>
  </si>
  <si>
    <t>Selected peak current limit based on margin selection</t>
  </si>
  <si>
    <t>Rcs_sl_ratio</t>
  </si>
  <si>
    <t>ratio of down slope to slope compensation. This can be updated to give more margin</t>
  </si>
  <si>
    <t>Rcs_max</t>
  </si>
  <si>
    <t>Maximum Rcs based on internal slope compensation. Assuming slope ratio of 1/2</t>
  </si>
  <si>
    <t>Rcs_wo_sl</t>
  </si>
  <si>
    <t>Current sense resistor without slope compensation</t>
  </si>
  <si>
    <t>Rcs_ext_sl_ratio</t>
  </si>
  <si>
    <t>External Slope compensation ratio. Constant to provide a dead beat response</t>
  </si>
  <si>
    <t>Rcs_w_sl</t>
  </si>
  <si>
    <t>Calculated current sense resistor with slope compensation included</t>
  </si>
  <si>
    <t>R_sl_ext</t>
  </si>
  <si>
    <t>Calculated external slope compensation resistor</t>
  </si>
  <si>
    <t>Flag_ext_sl</t>
  </si>
  <si>
    <t>External Compensation? (0-no, 1-yes), Only accurate for CCM as DCM doesn't need slope compensation</t>
  </si>
  <si>
    <t>R_cs_calc</t>
  </si>
  <si>
    <t>Current Sense Resistor calculated, id DCM this is going to be the value calculated without slope compensation</t>
  </si>
  <si>
    <t>R_sl_calc</t>
  </si>
  <si>
    <t>External slope compensation resistor, if DCM operation the external slope compensation is not needed. Should b 0 Ohm</t>
  </si>
  <si>
    <t>R_cs</t>
  </si>
  <si>
    <t>Selected current sense Resistor</t>
  </si>
  <si>
    <t>R_sl</t>
  </si>
  <si>
    <t>Selected external slope compensation</t>
  </si>
  <si>
    <t>sl_vin_min</t>
  </si>
  <si>
    <t>V/V</t>
  </si>
  <si>
    <t>Check to make sure that slope compensation is high enough at the minimum input voltage</t>
  </si>
  <si>
    <t>IL_pk</t>
  </si>
  <si>
    <t>Peak current limit at the minimum input voltage</t>
  </si>
  <si>
    <t>IL_pk_max</t>
  </si>
  <si>
    <t>Peak inductor current limit for saturation rating.  VIN max due to the possibility of external slope comp</t>
  </si>
  <si>
    <t>sat_mar</t>
  </si>
  <si>
    <t>Margin for saturation current of the inductor</t>
  </si>
  <si>
    <t>IL_sat</t>
  </si>
  <si>
    <t>Recommended Saturation current rating of the selected inductor</t>
  </si>
  <si>
    <t>COMP voltage Limit checks</t>
  </si>
  <si>
    <t>Step 4: AC capacitor selection</t>
  </si>
  <si>
    <t>VCrr</t>
  </si>
  <si>
    <t>Cac_min</t>
  </si>
  <si>
    <t>F</t>
  </si>
  <si>
    <t>Calculated for CCM operation assuming coupled inductors</t>
  </si>
  <si>
    <t>Cac</t>
  </si>
  <si>
    <t>Selected  AC capacitor value for the user</t>
  </si>
  <si>
    <t>V_Cac</t>
  </si>
  <si>
    <t>Max ripple voltage of the capacitor (at VIN min)</t>
  </si>
  <si>
    <t>IRMS_Cac</t>
  </si>
  <si>
    <t>RMS ripple current of the AC capacitor. Calculated at the minimum input votlage</t>
  </si>
  <si>
    <t>*Note this changed for the Version 1 forward. The output capcitance is based on the load transient specification. Similar to the fylback converter</t>
  </si>
  <si>
    <t>fcross_estimate</t>
  </si>
  <si>
    <t>RAD</t>
  </si>
  <si>
    <r>
      <rPr>
        <sz val="11"/>
        <color theme="1"/>
        <rFont val="Calibri"/>
        <charset val="134"/>
        <scheme val="minor"/>
      </rPr>
      <t>Estimate to be 1.5 the RHP zero frequency *</t>
    </r>
    <r>
      <rPr>
        <b/>
        <sz val="11"/>
        <color theme="1"/>
        <rFont val="Calibri"/>
        <charset val="134"/>
        <scheme val="minor"/>
      </rPr>
      <t>Will need to updated for DCM operation</t>
    </r>
  </si>
  <si>
    <t>Vout_rip_sel</t>
  </si>
  <si>
    <t>Desired output ripple</t>
  </si>
  <si>
    <t>Itrans</t>
  </si>
  <si>
    <t>Cout_min</t>
  </si>
  <si>
    <t>Calculate minimum capacitance based simply on the capacitive ripple</t>
  </si>
  <si>
    <t>IRMS_COUT</t>
  </si>
  <si>
    <r>
      <rPr>
        <sz val="11"/>
        <color theme="1"/>
        <rFont val="Calibri"/>
        <charset val="134"/>
        <scheme val="minor"/>
      </rPr>
      <t xml:space="preserve">RMS current of the output capacitor at VIN min IOUT max. RMS current rating should be larger than this. </t>
    </r>
    <r>
      <rPr>
        <b/>
        <sz val="11"/>
        <color theme="1"/>
        <rFont val="Calibri"/>
        <charset val="134"/>
        <scheme val="minor"/>
      </rPr>
      <t>Need to update for DCM and uncoupled inductors</t>
    </r>
  </si>
  <si>
    <t>Cout</t>
  </si>
  <si>
    <t>Selected Output Capacitance</t>
  </si>
  <si>
    <t>Resr</t>
  </si>
  <si>
    <r>
      <rPr>
        <sz val="11"/>
        <color theme="1"/>
        <rFont val="Calibri"/>
        <charset val="134"/>
        <scheme val="minor"/>
      </rPr>
      <t xml:space="preserve">Selected output capacitance ESR. </t>
    </r>
    <r>
      <rPr>
        <b/>
        <sz val="11"/>
        <color theme="1"/>
        <rFont val="Calibri"/>
        <charset val="134"/>
        <scheme val="minor"/>
      </rPr>
      <t>*Need to add a requirement here for the maximum value</t>
    </r>
  </si>
  <si>
    <t>Step 6: Soft-start Capacitor selection</t>
  </si>
  <si>
    <t>SS time</t>
  </si>
  <si>
    <t>ms</t>
  </si>
  <si>
    <t>Softstart time for LM34x8</t>
  </si>
  <si>
    <t>Step 7: UVLO Resistor Selection</t>
  </si>
  <si>
    <t>No UVLO pin</t>
  </si>
  <si>
    <t>Step 8: Loop Compensation</t>
  </si>
  <si>
    <t>VIN_var</t>
  </si>
  <si>
    <r>
      <rPr>
        <sz val="11"/>
        <color theme="1"/>
        <rFont val="Calibri"/>
        <charset val="134"/>
        <scheme val="minor"/>
      </rPr>
      <t xml:space="preserve">Variable input voltage to model the loop. </t>
    </r>
    <r>
      <rPr>
        <b/>
        <sz val="11"/>
        <color theme="1"/>
        <rFont val="Calibri"/>
        <charset val="134"/>
        <scheme val="minor"/>
      </rPr>
      <t>Currently not used. Will be updated in next rev</t>
    </r>
  </si>
  <si>
    <t>Feedback resistor selection</t>
  </si>
  <si>
    <t>RFBT</t>
  </si>
  <si>
    <t>Selected by user. Feedback resistor should be &gt;100uA to help reject noise</t>
  </si>
  <si>
    <t>RFBB_CALC</t>
  </si>
  <si>
    <t>Estimated bottom feedback resistor</t>
  </si>
  <si>
    <t>RFBB</t>
  </si>
  <si>
    <t>Selected botton feedback resistor</t>
  </si>
  <si>
    <t>Ifb</t>
  </si>
  <si>
    <t>Current Drawn from the feedback resistors (Typically higher than 100uA to help w/ noise)</t>
  </si>
  <si>
    <t>Crossover Frequency Selection</t>
  </si>
  <si>
    <t>This is based on the minimum input voltage. T</t>
  </si>
  <si>
    <t>CCM Calculations</t>
  </si>
  <si>
    <t>ADC_VINmin</t>
  </si>
  <si>
    <t>wp_lf_VINmin</t>
  </si>
  <si>
    <t>rad</t>
  </si>
  <si>
    <t>Low frequency pole based on the minimum input voltage</t>
  </si>
  <si>
    <t>fp_lf_VINmin</t>
  </si>
  <si>
    <r>
      <rPr>
        <sz val="11"/>
        <color theme="1"/>
        <rFont val="Calibri"/>
        <charset val="134"/>
        <scheme val="minor"/>
      </rPr>
      <t xml:space="preserve">Plant low frequency pole. </t>
    </r>
    <r>
      <rPr>
        <b/>
        <sz val="11"/>
        <color theme="1"/>
        <rFont val="Calibri"/>
        <charset val="134"/>
        <scheme val="minor"/>
      </rPr>
      <t>IN Hz!!!</t>
    </r>
  </si>
  <si>
    <t>wz_esr_VINmin</t>
  </si>
  <si>
    <t>raf</t>
  </si>
  <si>
    <t>ESR zero based on the minimum input voltage</t>
  </si>
  <si>
    <t>fz_esr_VINmin</t>
  </si>
  <si>
    <r>
      <rPr>
        <sz val="11"/>
        <color theme="1"/>
        <rFont val="Calibri"/>
        <charset val="134"/>
        <scheme val="minor"/>
      </rPr>
      <t xml:space="preserve">Plant capacitor ESR zero </t>
    </r>
    <r>
      <rPr>
        <b/>
        <sz val="11"/>
        <color theme="1"/>
        <rFont val="Calibri"/>
        <charset val="134"/>
        <scheme val="minor"/>
      </rPr>
      <t>(In Hz)</t>
    </r>
  </si>
  <si>
    <t>wz_RHP_VINmin</t>
  </si>
  <si>
    <t>RHP_zero location based on the minimum input voltage</t>
  </si>
  <si>
    <t>fz_rhp_VINmin</t>
  </si>
  <si>
    <r>
      <rPr>
        <sz val="11"/>
        <color theme="1"/>
        <rFont val="Calibri"/>
        <charset val="134"/>
        <scheme val="minor"/>
      </rPr>
      <t xml:space="preserve">Plant RHP Zero, </t>
    </r>
    <r>
      <rPr>
        <b/>
        <sz val="11"/>
        <color theme="1"/>
        <rFont val="Calibri"/>
        <charset val="134"/>
        <scheme val="minor"/>
      </rPr>
      <t>(IN Hz)</t>
    </r>
  </si>
  <si>
    <t>1/10 the swictching frequency</t>
  </si>
  <si>
    <r>
      <rPr>
        <sz val="11"/>
        <color theme="1"/>
        <rFont val="Calibri"/>
        <charset val="134"/>
        <scheme val="minor"/>
      </rPr>
      <t xml:space="preserve">Select the lower crossover frequency </t>
    </r>
    <r>
      <rPr>
        <b/>
        <sz val="11"/>
        <color theme="1"/>
        <rFont val="Calibri"/>
        <charset val="134"/>
        <scheme val="minor"/>
      </rPr>
      <t>(typically going to set to 1/5th the RHP zero)</t>
    </r>
  </si>
  <si>
    <t>Se_VINmin</t>
  </si>
  <si>
    <t xml:space="preserve">Slope compensation </t>
  </si>
  <si>
    <t>Sn_VINmin</t>
  </si>
  <si>
    <t>Down slope at the selected input voltage</t>
  </si>
  <si>
    <t>wsl_VINmin</t>
  </si>
  <si>
    <t>Rad</t>
  </si>
  <si>
    <t>Q_VINmin</t>
  </si>
  <si>
    <t>fcross_CCM</t>
  </si>
  <si>
    <r>
      <rPr>
        <sz val="11"/>
        <color theme="1"/>
        <rFont val="Calibri"/>
        <charset val="134"/>
        <scheme val="minor"/>
      </rPr>
      <t xml:space="preserve">Conservative. Set Fcross to be 1/6th the RHP zero frequency or 1/10th SW: whichever is lower. </t>
    </r>
    <r>
      <rPr>
        <b/>
        <sz val="11"/>
        <color theme="1"/>
        <rFont val="Calibri"/>
        <charset val="134"/>
        <scheme val="minor"/>
      </rPr>
      <t>Note this is just for CCM operation</t>
    </r>
  </si>
  <si>
    <t>fz_ea_est</t>
  </si>
  <si>
    <t>This sets the error amp zero at the geometric mean between the load pole and the crossover frequency</t>
  </si>
  <si>
    <t>fp_ea_est</t>
  </si>
  <si>
    <t>This should be set at or near the lowest RHP zero Frequency</t>
  </si>
  <si>
    <t>fcross</t>
  </si>
  <si>
    <t>Set between 1/2 fsw and the RHPz in the application note. This is aggressive</t>
  </si>
  <si>
    <t>Rcomp_Calc_CCM</t>
  </si>
  <si>
    <t>Calculate on based on the desired Mid-band gain needed to set the crossover frequency</t>
  </si>
  <si>
    <t>CCOMP_calc_CCM</t>
  </si>
  <si>
    <t>Calcualted based on the desired Zero frequency. Set at the geometric mean between the crossover frequency and the load pole</t>
  </si>
  <si>
    <t>CHF_Calc_CCM</t>
  </si>
  <si>
    <t>Calcualted based on the RHP zero frequency</t>
  </si>
  <si>
    <t>DCM Selections</t>
  </si>
  <si>
    <t>*DCM operation is not modeled is disabled on the loop compensation. Needs to be modeled for a SEPIC</t>
  </si>
  <si>
    <t>Fm_DCM</t>
  </si>
  <si>
    <t>Modulator gain of the PWM comparator</t>
  </si>
  <si>
    <t>ADC_VIN_min_DCM</t>
  </si>
  <si>
    <t>wp_dcm</t>
  </si>
  <si>
    <t>wz1_dcm</t>
  </si>
  <si>
    <t>wz2_dcm</t>
  </si>
  <si>
    <t>RHP zero location</t>
  </si>
  <si>
    <t>fcross_DCM</t>
  </si>
  <si>
    <r>
      <rPr>
        <sz val="11"/>
        <color theme="1"/>
        <rFont val="Calibri"/>
        <charset val="134"/>
        <scheme val="minor"/>
      </rPr>
      <t>Crossover frequnecy of the</t>
    </r>
    <r>
      <rPr>
        <b/>
        <sz val="11"/>
        <color theme="1"/>
        <rFont val="Calibri"/>
        <charset val="134"/>
        <scheme val="minor"/>
      </rPr>
      <t xml:space="preserve"> DCM control loop</t>
    </r>
    <r>
      <rPr>
        <sz val="11"/>
        <color theme="1"/>
        <rFont val="Calibri"/>
        <charset val="134"/>
        <scheme val="minor"/>
      </rPr>
      <t>. (1/5th the RHPzero frequency), suggested</t>
    </r>
  </si>
  <si>
    <t>Gain of the plant at the crossover frequency</t>
  </si>
  <si>
    <t>Selected cross over frequency by the user.</t>
  </si>
  <si>
    <t>Rcomp_Calc_DCM</t>
  </si>
  <si>
    <t>Ohm</t>
  </si>
  <si>
    <t>CCOMP_Calc_DCM</t>
  </si>
  <si>
    <t>CHF_Calc_DCM</t>
  </si>
  <si>
    <t>General Loop Selections</t>
  </si>
  <si>
    <t>This is the output to the user based on the mode of operation when VIN is the minimum</t>
  </si>
  <si>
    <t>Desired Crossover frequency</t>
  </si>
  <si>
    <t>Rcomp_Calc</t>
  </si>
  <si>
    <t>RCOMP</t>
  </si>
  <si>
    <t>Type II compensation Resistort</t>
  </si>
  <si>
    <t>CCOMP_calc</t>
  </si>
  <si>
    <t>CCOMP</t>
  </si>
  <si>
    <t>Type II compensation Capacitor</t>
  </si>
  <si>
    <t>CHF_calc</t>
  </si>
  <si>
    <t>CHF</t>
  </si>
  <si>
    <t>Type II high frequency capacitor</t>
  </si>
  <si>
    <t>Step 7: Component Selection</t>
  </si>
  <si>
    <t>Id_AVG</t>
  </si>
  <si>
    <t xml:space="preserve">Suggested average current rating of diode. </t>
  </si>
  <si>
    <t>Vd_rect</t>
  </si>
  <si>
    <t>Rect Diode forward voltage drop</t>
  </si>
  <si>
    <t>Qrr</t>
  </si>
  <si>
    <t>C</t>
  </si>
  <si>
    <t>Shottky Reverse recovery charge</t>
  </si>
  <si>
    <t>MOSFET Parameters</t>
  </si>
  <si>
    <t>RDS_on</t>
  </si>
  <si>
    <t>Qg_tot</t>
  </si>
  <si>
    <t>Qgd</t>
  </si>
  <si>
    <t>Qgs</t>
  </si>
  <si>
    <t>Rgate</t>
  </si>
  <si>
    <t>Rgate_int</t>
  </si>
  <si>
    <t>Internal Gate resistance of the MOSFET driver.</t>
  </si>
  <si>
    <t>gfs</t>
  </si>
  <si>
    <t>Vth</t>
  </si>
  <si>
    <t>VCC</t>
  </si>
  <si>
    <t xml:space="preserve">VCC voltage. Can be changed with external bias. </t>
  </si>
  <si>
    <t>Vsp</t>
  </si>
  <si>
    <t>Gate voltage when MOSFET begins conducting current</t>
  </si>
  <si>
    <t>tr_sw</t>
  </si>
  <si>
    <t>Rise time of the switch node</t>
  </si>
  <si>
    <t>tf_sw</t>
  </si>
  <si>
    <t>Fall time of the switch node</t>
  </si>
  <si>
    <t>Check this value</t>
  </si>
  <si>
    <t>Coils are not included in the efficiency calculations</t>
  </si>
  <si>
    <t>Operation Variables</t>
  </si>
  <si>
    <t>Duty Cycle</t>
  </si>
  <si>
    <t>Inductor (Written of the switch on SEPIC)</t>
  </si>
  <si>
    <t>MOSFET</t>
  </si>
  <si>
    <t>Diode</t>
  </si>
  <si>
    <t>Other Losses</t>
  </si>
  <si>
    <t>Total Losses</t>
  </si>
  <si>
    <t>VIN</t>
  </si>
  <si>
    <t>IIN</t>
  </si>
  <si>
    <t>DCM/CCM</t>
  </si>
  <si>
    <t>DC</t>
  </si>
  <si>
    <t>DC_off</t>
  </si>
  <si>
    <t>dIL</t>
  </si>
  <si>
    <r>
      <rPr>
        <sz val="11"/>
        <color theme="1"/>
        <rFont val="Calibri"/>
        <charset val="134"/>
        <scheme val="minor"/>
      </rPr>
      <t>IL</t>
    </r>
    <r>
      <rPr>
        <vertAlign val="subscript"/>
        <sz val="11"/>
        <color theme="1"/>
        <rFont val="Calibri"/>
        <charset val="134"/>
        <scheme val="minor"/>
      </rPr>
      <t>PEAK</t>
    </r>
  </si>
  <si>
    <r>
      <rPr>
        <sz val="11"/>
        <color theme="1"/>
        <rFont val="Calibri"/>
        <charset val="134"/>
        <scheme val="minor"/>
      </rPr>
      <t>IL</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</si>
  <si>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Lac</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</si>
  <si>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L_DCR</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</si>
  <si>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L_tot</t>
    </r>
    <r>
      <rPr>
        <sz val="11"/>
        <color theme="1"/>
        <rFont val="Calibri"/>
        <charset val="134"/>
        <scheme val="minor"/>
      </rPr>
      <t xml:space="preserve"> (W)</t>
    </r>
  </si>
  <si>
    <r>
      <rPr>
        <sz val="11"/>
        <color theme="1"/>
        <rFont val="Calibri"/>
        <charset val="134"/>
        <scheme val="minor"/>
      </rPr>
      <t>ISW</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</si>
  <si>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ISW</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</si>
  <si>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Q_COND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</si>
  <si>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</si>
  <si>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Q_tot </t>
    </r>
    <r>
      <rPr>
        <sz val="11"/>
        <color theme="1"/>
        <rFont val="Calibri"/>
        <charset val="134"/>
        <scheme val="minor"/>
      </rPr>
      <t>(W)</t>
    </r>
  </si>
  <si>
    <r>
      <rPr>
        <sz val="11"/>
        <color theme="1"/>
        <rFont val="Calibri"/>
        <charset val="134"/>
        <scheme val="minor"/>
      </rPr>
      <t>ID</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</si>
  <si>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ID</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</si>
  <si>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D_COND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</si>
  <si>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</si>
  <si>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D_tot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</si>
  <si>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RCS</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</si>
  <si>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G_drv</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</si>
  <si>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IQ</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</si>
  <si>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TOTAL</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</si>
  <si>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OUT</t>
    </r>
    <r>
      <rPr>
        <sz val="11"/>
        <color theme="1"/>
        <rFont val="Calibri"/>
        <charset val="134"/>
        <scheme val="minor"/>
      </rPr>
      <t xml:space="preserve"> (W)</t>
    </r>
  </si>
  <si>
    <t>Eff</t>
  </si>
  <si>
    <t>VIN_VAR</t>
  </si>
  <si>
    <t>Steps</t>
  </si>
  <si>
    <t>Step size</t>
  </si>
  <si>
    <t>Calculations</t>
  </si>
  <si>
    <t>Needs to be updated for DCM operation</t>
  </si>
  <si>
    <t>Operating mode</t>
  </si>
  <si>
    <t>Plant Transfer Function</t>
  </si>
  <si>
    <t>Error Amplifier</t>
  </si>
  <si>
    <t>CCM Open Loop Response</t>
  </si>
  <si>
    <t>DCM Open Loop Response</t>
  </si>
  <si>
    <t>Displayed Loop Calclation</t>
  </si>
  <si>
    <t>wp_lf</t>
  </si>
  <si>
    <t>wz_esr</t>
  </si>
  <si>
    <t>Sampling</t>
  </si>
  <si>
    <t>Total</t>
  </si>
  <si>
    <t>wz_RHP</t>
  </si>
  <si>
    <t>wp0_ea</t>
  </si>
  <si>
    <t>wp1_ea</t>
  </si>
  <si>
    <t>wz_ea</t>
  </si>
  <si>
    <t>ADC</t>
  </si>
  <si>
    <t>Complex</t>
  </si>
  <si>
    <t>Gain</t>
  </si>
  <si>
    <t>Phase</t>
  </si>
  <si>
    <t>COMPLEX</t>
  </si>
  <si>
    <t xml:space="preserve">Gain </t>
  </si>
  <si>
    <t>ADC_ea</t>
  </si>
  <si>
    <t>Frcoss (VIN)min</t>
  </si>
  <si>
    <t>Fcross</t>
  </si>
  <si>
    <t>Input Parameters</t>
  </si>
  <si>
    <t>XOVER SEARCH</t>
  </si>
  <si>
    <t>xover</t>
  </si>
  <si>
    <t>phase margin</t>
  </si>
  <si>
    <t xml:space="preserve"> CCMPlant Parameters</t>
  </si>
  <si>
    <t>Selected VIN</t>
  </si>
  <si>
    <t>Variable input voltage</t>
  </si>
  <si>
    <t>CCM Plant Transfer Function</t>
  </si>
  <si>
    <t>DCM Plant Transfer Function</t>
  </si>
  <si>
    <t>IOUT_VAR</t>
  </si>
  <si>
    <t>Variable output current (Can add this a different revision, not needed right now)</t>
  </si>
  <si>
    <t>DC_VIN_Var</t>
  </si>
  <si>
    <t>Frequency</t>
  </si>
  <si>
    <t>Gain(dB)</t>
  </si>
  <si>
    <t>Phase (deg)</t>
  </si>
  <si>
    <t>Gain Cross</t>
  </si>
  <si>
    <t>Phase Cross</t>
  </si>
  <si>
    <t>Output Voltage</t>
  </si>
  <si>
    <t>Component Selection</t>
  </si>
  <si>
    <t>LM</t>
  </si>
  <si>
    <t>filter Inductor</t>
  </si>
  <si>
    <t>Current sense resi</t>
  </si>
  <si>
    <t>External Slope Compensation Resistor</t>
  </si>
  <si>
    <t>Rsl_int</t>
  </si>
  <si>
    <t>Interanl Slope Compesnation Resistor</t>
  </si>
  <si>
    <t>Isl</t>
  </si>
  <si>
    <t>Interanl Slope Compesnation current</t>
  </si>
  <si>
    <t>Gcomp</t>
  </si>
  <si>
    <t>Scale down factor of the interal comp voltage divider</t>
  </si>
  <si>
    <r>
      <rPr>
        <sz val="11"/>
        <color theme="1"/>
        <rFont val="Calibri"/>
        <charset val="134"/>
        <scheme val="minor"/>
      </rPr>
      <t xml:space="preserve">0 - DCM operation, 1- CCM opertaion. </t>
    </r>
    <r>
      <rPr>
        <b/>
        <sz val="11"/>
        <color theme="1"/>
        <rFont val="Calibri"/>
        <charset val="134"/>
        <scheme val="minor"/>
      </rPr>
      <t>Always set to CCM right now</t>
    </r>
  </si>
  <si>
    <t>CCM Plan Parameters</t>
  </si>
  <si>
    <t>DC gain of the plant function</t>
  </si>
  <si>
    <t>Low Frequency Pole</t>
  </si>
  <si>
    <t>dB</t>
  </si>
  <si>
    <t>Gain of open loop at wp_Lf</t>
  </si>
  <si>
    <t>wz_rhp</t>
  </si>
  <si>
    <t>RHPz zero of boost converter</t>
  </si>
  <si>
    <t>ESR zero cause by output capacitance</t>
  </si>
  <si>
    <t>Se</t>
  </si>
  <si>
    <t>Sn</t>
  </si>
  <si>
    <t>wsl</t>
  </si>
  <si>
    <t>Q</t>
  </si>
  <si>
    <t>Compensation Components</t>
  </si>
  <si>
    <t>Top feedback resistor</t>
  </si>
  <si>
    <t>Bottom feedback resistor</t>
  </si>
  <si>
    <t>Adc_ea</t>
  </si>
  <si>
    <t>Error Amplifier Zero</t>
  </si>
  <si>
    <t>Error Amplifier pole at the origin</t>
  </si>
  <si>
    <t>Error Amplifier pole at high frequencies</t>
  </si>
  <si>
    <t xml:space="preserve"> DCMPlant Parameters</t>
  </si>
  <si>
    <t>DC_VIN_var_DCM</t>
  </si>
  <si>
    <t>Duty cycle of the converter in DCM</t>
  </si>
  <si>
    <t>"Note this include the COMP to PWM gain term (.145V/V)</t>
  </si>
  <si>
    <t>wp_lf_DCM</t>
  </si>
  <si>
    <t>EXCEL Constants / Values / IC Limits</t>
  </si>
  <si>
    <t>Excel Calculator based on LM5155 basis</t>
  </si>
  <si>
    <t xml:space="preserve">IC Duty Cycle Limitation: </t>
  </si>
  <si>
    <t>D_2p2_min</t>
  </si>
  <si>
    <t>Minimum max duty cycle at 2p2MHZ operation</t>
  </si>
  <si>
    <t>t_off_max</t>
  </si>
  <si>
    <t>Maximum forced off time</t>
  </si>
  <si>
    <t>D_2p2_nom</t>
  </si>
  <si>
    <t>T_off_nom</t>
  </si>
  <si>
    <t>nominal forced off time</t>
  </si>
  <si>
    <t>D_2p2_max</t>
  </si>
  <si>
    <t>T_off_min</t>
  </si>
  <si>
    <t>Minimum forced off time</t>
  </si>
  <si>
    <t>D_limit_min</t>
  </si>
  <si>
    <t>Min max duty cycle at low frequency</t>
  </si>
  <si>
    <t>D_limit_nom</t>
  </si>
  <si>
    <t>Nomminal max duty cycle at low frequency</t>
  </si>
  <si>
    <t>D_limit_max</t>
  </si>
  <si>
    <t>Maximum max duty cycle at low frequency</t>
  </si>
  <si>
    <t>Forced off time limit? [2 True, 1 False].</t>
  </si>
  <si>
    <t>Dc_Limit</t>
  </si>
  <si>
    <t>Max duty cycle of LM5155 at Fsw</t>
  </si>
  <si>
    <t>ton_min</t>
  </si>
  <si>
    <t>Typical Ton minimum value</t>
  </si>
  <si>
    <t>Slope Compensation</t>
  </si>
  <si>
    <t>Fsw:</t>
  </si>
  <si>
    <t>Internal slope compensation ramp</t>
  </si>
  <si>
    <t>Internal Slope compensation resistor</t>
  </si>
  <si>
    <t>Vcl</t>
  </si>
  <si>
    <t>Current Limit Value. See datsheet for Parameters</t>
  </si>
  <si>
    <t>Rsl_max</t>
  </si>
  <si>
    <t>Intenal step down of the divider</t>
  </si>
  <si>
    <t>Acs</t>
  </si>
  <si>
    <t>Current sense Amplifier Gain (1 for this device)</t>
  </si>
  <si>
    <t>Vref</t>
  </si>
  <si>
    <t>Reference voltage</t>
  </si>
  <si>
    <t>gm_ea</t>
  </si>
  <si>
    <t>A/V</t>
  </si>
  <si>
    <t>Error Amplifier Gain</t>
  </si>
  <si>
    <t>Soft-Start</t>
  </si>
  <si>
    <t>internally fixed</t>
  </si>
  <si>
    <t>UVLO Thresholds</t>
  </si>
  <si>
    <t>UV_rise</t>
  </si>
  <si>
    <t>NO UVLO PIN</t>
  </si>
  <si>
    <t>UV_fall</t>
  </si>
  <si>
    <t>UV_I_hyst</t>
  </si>
  <si>
    <t>VCC regulator</t>
  </si>
  <si>
    <t>Vcc</t>
  </si>
  <si>
    <t>Regulated output voltage of internal LDO. Can change if this is externally biased.</t>
  </si>
  <si>
    <t>IQ current</t>
  </si>
  <si>
    <t xml:space="preserve">IQ </t>
  </si>
  <si>
    <t>Non-switching IQ current</t>
  </si>
  <si>
    <t>200uA for redbull</t>
  </si>
  <si>
    <t>Operation Raange</t>
  </si>
  <si>
    <t>Vin_op_min</t>
  </si>
  <si>
    <t>Minimum operating voltage</t>
  </si>
  <si>
    <t>Vin_op_max</t>
  </si>
  <si>
    <t>Maximum BIAS pin operating voltage</t>
  </si>
  <si>
    <t>VIN_op_max_56</t>
  </si>
  <si>
    <t>Abs max BIAS</t>
  </si>
  <si>
    <t>Input Voltage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</si>
</sst>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26" formatCode="General"/>
    <numFmt numFmtId="176" formatCode="_-* #,##0.00_-;\-* #,##0.00_-;_-* &quot;-&quot;??_-;_-@_-"/>
    <numFmt numFmtId="177" formatCode="_-* #,##0.00\ &quot;zł&quot;_-;\-* #,##0.00\ &quot;zł&quot;_-;_-* &quot;-&quot;??\ &quot;zł&quot;_-;_-@_-"/>
    <numFmt numFmtId="178" formatCode="_-* #,##0_-;\-* #,##0_-;_-* &quot;-&quot;_-;_-@_-"/>
    <numFmt numFmtId="179" formatCode="_-* #,##0\ &quot;zł&quot;_-;\-* #,##0\ &quot;zł&quot;_-;_-* &quot;-&quot;\ &quot;zł&quot;_-;_-@_-"/>
    <numFmt numFmtId="180" formatCode="_(* #,##0.00_);_(* \(#,##0.00\);_(* &quot;-&quot;??_);_(@_)"/>
    <numFmt numFmtId="181" formatCode="0.000E+00"/>
    <numFmt numFmtId="182" formatCode="0.000"/>
    <numFmt numFmtId="183" formatCode="0.00000"/>
    <numFmt numFmtId="184" formatCode="0.0000E+00"/>
    <numFmt numFmtId="185" formatCode="0.0000"/>
    <numFmt numFmtId="186" formatCode="0.0"/>
    <numFmt numFmtId="187" formatCode="0.000000E+00"/>
  </numFmts>
  <fonts count="66">
    <font>
      <sz val="11"/>
      <color theme="1"/>
      <name val="Calibri"/>
      <charset val="134"/>
      <scheme val="minor"/>
    </font>
    <font>
      <b/>
      <sz val="22"/>
      <color indexed="44"/>
      <name val="Arial"/>
      <charset val="134"/>
    </font>
    <font>
      <b/>
      <sz val="10"/>
      <name val="Arial"/>
      <charset val="134"/>
    </font>
    <font>
      <sz val="10"/>
      <name val="Arial"/>
      <charset val="134"/>
    </font>
    <font>
      <b/>
      <sz val="12"/>
      <color theme="1"/>
      <name val="Calibri"/>
      <charset val="134"/>
      <scheme val="minor"/>
    </font>
    <font>
      <sz val="11"/>
      <color theme="1"/>
      <name val="Calibri"/>
      <charset val="134"/>
    </font>
    <font>
      <b/>
      <sz val="11"/>
      <color theme="1"/>
      <name val="Calibri"/>
      <charset val="134"/>
      <scheme val="minor"/>
    </font>
    <font>
      <b/>
      <sz val="10"/>
      <color rgb="FF00B0F0"/>
      <name val="Arial"/>
      <charset val="134"/>
    </font>
    <font>
      <b/>
      <sz val="11"/>
      <color rgb="FF00B0F0"/>
      <name val="Calibri"/>
      <charset val="134"/>
      <scheme val="minor"/>
    </font>
    <font>
      <b/>
      <sz val="12"/>
      <color rgb="FF00B0F0"/>
      <name val="Calibri"/>
      <charset val="134"/>
      <scheme val="minor"/>
    </font>
    <font>
      <b/>
      <sz val="12"/>
      <color rgb="FF0000FF"/>
      <name val="Arial"/>
      <charset val="134"/>
    </font>
    <font>
      <b/>
      <sz val="11"/>
      <color rgb="FF0070C0"/>
      <name val="Calibri"/>
      <charset val="134"/>
      <scheme val="minor"/>
    </font>
    <font>
      <sz val="11"/>
      <color rgb="FF0070C0"/>
      <name val="Calibri"/>
      <charset val="134"/>
      <scheme val="minor"/>
    </font>
    <font>
      <b/>
      <u/>
      <sz val="11"/>
      <color theme="1"/>
      <name val="Calibri"/>
      <charset val="134"/>
      <scheme val="minor"/>
    </font>
    <font>
      <sz val="11"/>
      <name val="Calibri"/>
      <charset val="134"/>
      <scheme val="minor"/>
    </font>
    <font>
      <u/>
      <sz val="11"/>
      <color theme="1"/>
      <name val="Calibri"/>
      <charset val="134"/>
      <scheme val="minor"/>
    </font>
    <font>
      <i/>
      <sz val="11"/>
      <color theme="1"/>
      <name val="Calibri"/>
      <charset val="134"/>
      <scheme val="minor"/>
    </font>
    <font>
      <b/>
      <sz val="11"/>
      <color theme="3" tint="0.399975585192419"/>
      <name val="Calibri"/>
      <charset val="134"/>
      <scheme val="minor"/>
    </font>
    <font>
      <sz val="10"/>
      <name val="Calibri"/>
      <charset val="134"/>
      <scheme val="minor"/>
    </font>
    <font>
      <sz val="11"/>
      <color theme="1"/>
      <name val="Arial"/>
      <charset val="134"/>
    </font>
    <font>
      <b/>
      <sz val="10"/>
      <color theme="1"/>
      <name val="Arial"/>
      <charset val="134"/>
    </font>
    <font>
      <sz val="10"/>
      <color theme="1"/>
      <name val="Arial"/>
      <charset val="134"/>
    </font>
    <font>
      <b/>
      <u/>
      <sz val="10"/>
      <color theme="10"/>
      <name val="Arial"/>
      <charset val="134"/>
    </font>
    <font>
      <b/>
      <sz val="10"/>
      <color theme="0"/>
      <name val="Arial"/>
      <charset val="134"/>
    </font>
    <font>
      <b/>
      <u/>
      <sz val="11"/>
      <color theme="10"/>
      <name val="Arial"/>
      <charset val="134"/>
    </font>
    <font>
      <sz val="28"/>
      <color theme="0"/>
      <name val="Calibri"/>
      <charset val="134"/>
      <scheme val="minor"/>
    </font>
    <font>
      <b/>
      <sz val="11"/>
      <color theme="0"/>
      <name val="Calibri"/>
      <charset val="134"/>
      <scheme val="minor"/>
    </font>
    <font>
      <u/>
      <sz val="11"/>
      <color rgb="FF800080"/>
      <name val="Calibri"/>
      <charset val="134"/>
      <scheme val="minor"/>
    </font>
    <font>
      <sz val="10"/>
      <color theme="1"/>
      <name val="Calibri"/>
      <charset val="134"/>
      <scheme val="minor"/>
    </font>
    <font>
      <sz val="11"/>
      <color rgb="FFFF0000"/>
      <name val="Calibri"/>
      <charset val="134"/>
      <scheme val="minor"/>
    </font>
    <font>
      <sz val="18"/>
      <color theme="0"/>
      <name val="Calibri"/>
      <charset val="134"/>
      <scheme val="minor"/>
    </font>
    <font>
      <b/>
      <sz val="11"/>
      <color theme="4"/>
      <name val="Calibri"/>
      <charset val="134"/>
      <scheme val="minor"/>
    </font>
    <font>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1"/>
      <color theme="1"/>
      <name val="Calibri"/>
      <charset val="134"/>
      <scheme val="minor"/>
    </font>
    <font>
      <vertAlign val="subscript"/>
      <sz val="10"/>
      <name val="Arial"/>
      <charset val="134"/>
    </font>
    <font>
      <vertAlign val="subscript"/>
      <sz val="10"/>
      <color theme="1"/>
      <name val="Calibri"/>
      <charset val="134"/>
      <scheme val="minor"/>
    </font>
    <font>
      <vertAlign val="subscript"/>
      <sz val="11"/>
      <color theme="1"/>
      <name val="Calibri"/>
      <charset val="134"/>
    </font>
    <font>
      <b/>
      <vertAlign val="subscript"/>
      <sz val="11"/>
      <color rgb="FF0070C0"/>
      <name val="Calibri"/>
      <charset val="134"/>
      <scheme val="minor"/>
    </font>
    <font>
      <vertAlign val="subscript"/>
      <sz val="11"/>
      <name val="Calibri"/>
      <charset val="134"/>
      <scheme val="minor"/>
    </font>
    <font>
      <sz val="11"/>
      <color indexed="10"/>
      <name val="Calibri"/>
      <charset val="0"/>
      <scheme val="minor"/>
    </font>
    <font>
      <b/>
      <sz val="11"/>
      <color indexed="10"/>
      <name val="Tahoma"/>
      <charset val="134"/>
    </font>
    <font>
      <sz val="11"/>
      <name val="Tahoma"/>
      <charset val="134"/>
    </font>
    <font>
      <sz val="9"/>
      <name val="Tahoma"/>
      <charset val="134"/>
    </font>
    <font>
      <sz val="9"/>
      <color indexed="10"/>
      <name val="Tahoma"/>
      <charset val="134"/>
    </font>
    <font>
      <b/>
      <sz val="9"/>
      <name val="Tahoma"/>
      <charset val="134"/>
    </font>
    <font>
      <b/>
      <sz val="9"/>
      <color indexed="10"/>
      <name val="Tahoma"/>
      <charset val="134"/>
    </font>
    <font>
      <vertAlign val="subscript"/>
      <sz val="9"/>
      <name val="Tahoma"/>
      <charset val="134"/>
    </font>
  </fonts>
  <fills count="51">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52"/>
        <bgColor indexed="64"/>
      </patternFill>
    </fill>
    <fill>
      <patternFill patternType="solid">
        <fgColor indexed="5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indexed="44"/>
        <bgColor indexed="64"/>
      </patternFill>
    </fill>
    <fill>
      <patternFill patternType="solid">
        <fgColor theme="0" tint="-0.349986266670736"/>
        <bgColor indexed="64"/>
      </patternFill>
    </fill>
    <fill>
      <patternFill patternType="solid">
        <fgColor theme="5" tint="0.799981688894314"/>
        <bgColor indexed="64"/>
      </patternFill>
    </fill>
    <fill>
      <patternFill patternType="solid">
        <fgColor rgb="FFFFFF00"/>
        <bgColor indexed="64"/>
      </patternFill>
    </fill>
    <fill>
      <patternFill patternType="solid">
        <fgColor theme="0"/>
        <bgColor indexed="64"/>
      </patternFill>
    </fill>
    <fill>
      <patternFill patternType="solid">
        <fgColor rgb="FFDE0000"/>
        <bgColor indexed="64"/>
      </patternFill>
    </fill>
    <fill>
      <patternFill patternType="solid">
        <fgColor theme="1"/>
        <bgColor indexed="64"/>
      </patternFill>
    </fill>
    <fill>
      <patternFill patternType="solid">
        <fgColor theme="2" tint="-0.899990844447157"/>
        <bgColor indexed="64"/>
      </patternFill>
    </fill>
    <fill>
      <patternFill patternType="solid">
        <fgColor rgb="FFFF0000"/>
        <bgColor indexed="64"/>
      </patternFill>
    </fill>
    <fill>
      <patternFill patternType="solid">
        <fgColor theme="0" tint="-0.499984740745262"/>
        <bgColor indexed="64"/>
      </patternFill>
    </fill>
    <fill>
      <patternFill patternType="solid">
        <fgColor theme="1" tint="0.04998931852168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diagonal/>
    </border>
    <border>
      <left/>
      <right style="medium">
        <color auto="1"/>
      </right>
      <top/>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6">
    <xf numFmtId="26" fontId="0" fillId="0" borderId="0"/>
    <xf numFmtId="176" fontId="32" fillId="0" borderId="0" applyFont="0" applyFill="0" applyBorder="0" applyAlignment="0" applyProtection="0">
      <alignment vertical="center"/>
    </xf>
    <xf numFmtId="177" fontId="32" fillId="0" borderId="0" applyFont="0" applyFill="0" applyBorder="0" applyAlignment="0" applyProtection="0">
      <alignment vertical="center"/>
    </xf>
    <xf numFmtId="9" fontId="32" fillId="0" borderId="0" applyFont="0" applyFill="0" applyBorder="0" applyAlignment="0" applyProtection="0">
      <alignment vertical="center"/>
    </xf>
    <xf numFmtId="178" fontId="32" fillId="0" borderId="0" applyFont="0" applyFill="0" applyBorder="0" applyAlignment="0" applyProtection="0">
      <alignment vertical="center"/>
    </xf>
    <xf numFmtId="179" fontId="32" fillId="0" borderId="0" applyFont="0" applyFill="0" applyBorder="0" applyAlignment="0" applyProtection="0">
      <alignment vertical="center"/>
    </xf>
    <xf numFmtId="26" fontId="33" fillId="0" borderId="0" applyNumberFormat="0" applyFill="0" applyBorder="0" applyAlignment="0" applyProtection="0"/>
    <xf numFmtId="26" fontId="34" fillId="0" borderId="0" applyNumberFormat="0" applyFill="0" applyBorder="0" applyAlignment="0" applyProtection="0">
      <alignment vertical="center"/>
    </xf>
    <xf numFmtId="26" fontId="32" fillId="20" borderId="27" applyNumberFormat="0" applyFont="0" applyAlignment="0" applyProtection="0">
      <alignment vertical="center"/>
    </xf>
    <xf numFmtId="26" fontId="35" fillId="0" borderId="0" applyNumberFormat="0" applyFill="0" applyBorder="0" applyAlignment="0" applyProtection="0">
      <alignment vertical="center"/>
    </xf>
    <xf numFmtId="26" fontId="36" fillId="0" borderId="0" applyNumberFormat="0" applyFill="0" applyBorder="0" applyAlignment="0" applyProtection="0">
      <alignment vertical="center"/>
    </xf>
    <xf numFmtId="26" fontId="37" fillId="0" borderId="0" applyNumberFormat="0" applyFill="0" applyBorder="0" applyAlignment="0" applyProtection="0">
      <alignment vertical="center"/>
    </xf>
    <xf numFmtId="26" fontId="38" fillId="0" borderId="28" applyNumberFormat="0" applyFill="0" applyAlignment="0" applyProtection="0">
      <alignment vertical="center"/>
    </xf>
    <xf numFmtId="26" fontId="39" fillId="0" borderId="28" applyNumberFormat="0" applyFill="0" applyAlignment="0" applyProtection="0">
      <alignment vertical="center"/>
    </xf>
    <xf numFmtId="26" fontId="40" fillId="0" borderId="29" applyNumberFormat="0" applyFill="0" applyAlignment="0" applyProtection="0">
      <alignment vertical="center"/>
    </xf>
    <xf numFmtId="26" fontId="40" fillId="0" borderId="0" applyNumberFormat="0" applyFill="0" applyBorder="0" applyAlignment="0" applyProtection="0">
      <alignment vertical="center"/>
    </xf>
    <xf numFmtId="26" fontId="41" fillId="21" borderId="30" applyNumberFormat="0" applyAlignment="0" applyProtection="0">
      <alignment vertical="center"/>
    </xf>
    <xf numFmtId="26" fontId="42" fillId="22" borderId="31" applyNumberFormat="0" applyAlignment="0" applyProtection="0">
      <alignment vertical="center"/>
    </xf>
    <xf numFmtId="26" fontId="43" fillId="22" borderId="30" applyNumberFormat="0" applyAlignment="0" applyProtection="0">
      <alignment vertical="center"/>
    </xf>
    <xf numFmtId="26" fontId="44" fillId="23" borderId="32" applyNumberFormat="0" applyAlignment="0" applyProtection="0">
      <alignment vertical="center"/>
    </xf>
    <xf numFmtId="26" fontId="45" fillId="0" borderId="33" applyNumberFormat="0" applyFill="0" applyAlignment="0" applyProtection="0">
      <alignment vertical="center"/>
    </xf>
    <xf numFmtId="26" fontId="46" fillId="0" borderId="34" applyNumberFormat="0" applyFill="0" applyAlignment="0" applyProtection="0">
      <alignment vertical="center"/>
    </xf>
    <xf numFmtId="26" fontId="47" fillId="24" borderId="0" applyNumberFormat="0" applyBorder="0" applyAlignment="0" applyProtection="0">
      <alignment vertical="center"/>
    </xf>
    <xf numFmtId="26" fontId="48" fillId="25" borderId="0" applyNumberFormat="0" applyBorder="0" applyAlignment="0" applyProtection="0">
      <alignment vertical="center"/>
    </xf>
    <xf numFmtId="26" fontId="49" fillId="26" borderId="0" applyNumberFormat="0" applyBorder="0" applyAlignment="0" applyProtection="0">
      <alignment vertical="center"/>
    </xf>
    <xf numFmtId="26" fontId="50" fillId="27" borderId="0" applyNumberFormat="0" applyBorder="0" applyAlignment="0" applyProtection="0">
      <alignment vertical="center"/>
    </xf>
    <xf numFmtId="26" fontId="51" fillId="28" borderId="0" applyNumberFormat="0" applyBorder="0" applyAlignment="0" applyProtection="0">
      <alignment vertical="center"/>
    </xf>
    <xf numFmtId="26" fontId="51" fillId="29" borderId="0" applyNumberFormat="0" applyBorder="0" applyAlignment="0" applyProtection="0">
      <alignment vertical="center"/>
    </xf>
    <xf numFmtId="26" fontId="50" fillId="30" borderId="0" applyNumberFormat="0" applyBorder="0" applyAlignment="0" applyProtection="0">
      <alignment vertical="center"/>
    </xf>
    <xf numFmtId="26" fontId="50" fillId="31" borderId="0" applyNumberFormat="0" applyBorder="0" applyAlignment="0" applyProtection="0">
      <alignment vertical="center"/>
    </xf>
    <xf numFmtId="26" fontId="51" fillId="32" borderId="0" applyNumberFormat="0" applyBorder="0" applyAlignment="0" applyProtection="0">
      <alignment vertical="center"/>
    </xf>
    <xf numFmtId="26" fontId="51" fillId="33" borderId="0" applyNumberFormat="0" applyBorder="0" applyAlignment="0" applyProtection="0">
      <alignment vertical="center"/>
    </xf>
    <xf numFmtId="26" fontId="50" fillId="34" borderId="0" applyNumberFormat="0" applyBorder="0" applyAlignment="0" applyProtection="0">
      <alignment vertical="center"/>
    </xf>
    <xf numFmtId="26" fontId="50" fillId="35" borderId="0" applyNumberFormat="0" applyBorder="0" applyAlignment="0" applyProtection="0">
      <alignment vertical="center"/>
    </xf>
    <xf numFmtId="26" fontId="51" fillId="36" borderId="0" applyNumberFormat="0" applyBorder="0" applyAlignment="0" applyProtection="0">
      <alignment vertical="center"/>
    </xf>
    <xf numFmtId="26" fontId="51" fillId="37" borderId="0" applyNumberFormat="0" applyBorder="0" applyAlignment="0" applyProtection="0">
      <alignment vertical="center"/>
    </xf>
    <xf numFmtId="26" fontId="50" fillId="38" borderId="0" applyNumberFormat="0" applyBorder="0" applyAlignment="0" applyProtection="0">
      <alignment vertical="center"/>
    </xf>
    <xf numFmtId="26" fontId="50" fillId="39" borderId="0" applyNumberFormat="0" applyBorder="0" applyAlignment="0" applyProtection="0">
      <alignment vertical="center"/>
    </xf>
    <xf numFmtId="26" fontId="51" fillId="40" borderId="0" applyNumberFormat="0" applyBorder="0" applyAlignment="0" applyProtection="0">
      <alignment vertical="center"/>
    </xf>
    <xf numFmtId="26" fontId="51" fillId="41" borderId="0" applyNumberFormat="0" applyBorder="0" applyAlignment="0" applyProtection="0">
      <alignment vertical="center"/>
    </xf>
    <xf numFmtId="26" fontId="50" fillId="42" borderId="0" applyNumberFormat="0" applyBorder="0" applyAlignment="0" applyProtection="0">
      <alignment vertical="center"/>
    </xf>
    <xf numFmtId="26" fontId="50" fillId="43" borderId="0" applyNumberFormat="0" applyBorder="0" applyAlignment="0" applyProtection="0">
      <alignment vertical="center"/>
    </xf>
    <xf numFmtId="26" fontId="51" fillId="44" borderId="0" applyNumberFormat="0" applyBorder="0" applyAlignment="0" applyProtection="0">
      <alignment vertical="center"/>
    </xf>
    <xf numFmtId="26" fontId="51" fillId="45" borderId="0" applyNumberFormat="0" applyBorder="0" applyAlignment="0" applyProtection="0">
      <alignment vertical="center"/>
    </xf>
    <xf numFmtId="26" fontId="50" fillId="46" borderId="0" applyNumberFormat="0" applyBorder="0" applyAlignment="0" applyProtection="0">
      <alignment vertical="center"/>
    </xf>
    <xf numFmtId="26" fontId="50" fillId="47" borderId="0" applyNumberFormat="0" applyBorder="0" applyAlignment="0" applyProtection="0">
      <alignment vertical="center"/>
    </xf>
    <xf numFmtId="26" fontId="51" fillId="48" borderId="0" applyNumberFormat="0" applyBorder="0" applyAlignment="0" applyProtection="0">
      <alignment vertical="center"/>
    </xf>
    <xf numFmtId="26" fontId="51" fillId="49" borderId="0" applyNumberFormat="0" applyBorder="0" applyAlignment="0" applyProtection="0">
      <alignment vertical="center"/>
    </xf>
    <xf numFmtId="26" fontId="50" fillId="50" borderId="0" applyNumberFormat="0" applyBorder="0" applyAlignment="0" applyProtection="0">
      <alignment vertical="center"/>
    </xf>
    <xf numFmtId="180" fontId="0" fillId="0" borderId="0" applyFont="0" applyFill="0" applyBorder="0" applyAlignment="0" applyProtection="0"/>
    <xf numFmtId="180" fontId="3" fillId="0" borderId="0" applyFont="0" applyFill="0" applyBorder="0" applyAlignment="0" applyProtection="0"/>
    <xf numFmtId="26" fontId="3" fillId="0" borderId="0"/>
    <xf numFmtId="26" fontId="0" fillId="0" borderId="0"/>
    <xf numFmtId="26" fontId="3" fillId="0" borderId="0"/>
    <xf numFmtId="26" fontId="3" fillId="0" borderId="0"/>
    <xf numFmtId="26" fontId="3" fillId="0" borderId="0"/>
  </cellStyleXfs>
  <cellXfs count="271">
    <xf numFmtId="26" fontId="0" fillId="0" borderId="0" xfId="0"/>
    <xf numFmtId="26" fontId="1" fillId="2" borderId="0" xfId="51" applyFont="1" applyFill="1" applyAlignment="1">
      <alignment horizontal="center"/>
    </xf>
    <xf numFmtId="26" fontId="2" fillId="0" borderId="0" xfId="51" applyFont="1" applyFill="1" applyAlignment="1">
      <alignment horizontal="center"/>
    </xf>
    <xf numFmtId="26" fontId="2" fillId="3" borderId="0" xfId="51" applyFont="1" applyFill="1" applyAlignment="1">
      <alignment horizontal="center"/>
    </xf>
    <xf numFmtId="26" fontId="3" fillId="0" borderId="0" xfId="51"/>
    <xf numFmtId="26" fontId="2" fillId="4" borderId="0" xfId="51" applyFont="1" applyFill="1" applyAlignment="1">
      <alignment horizontal="center"/>
    </xf>
    <xf numFmtId="26" fontId="2" fillId="5" borderId="0" xfId="51" applyFont="1" applyFill="1" applyAlignment="1">
      <alignment horizontal="center"/>
    </xf>
    <xf numFmtId="26" fontId="2" fillId="0" borderId="0" xfId="51" applyFont="1"/>
    <xf numFmtId="26" fontId="2" fillId="0" borderId="0" xfId="51" applyFont="1" applyAlignment="1">
      <alignment horizontal="center"/>
    </xf>
    <xf numFmtId="26" fontId="3" fillId="0" borderId="0" xfId="51" applyFont="1"/>
    <xf numFmtId="26" fontId="0" fillId="6" borderId="0" xfId="0" applyFill="1"/>
    <xf numFmtId="181" fontId="0" fillId="7" borderId="0" xfId="0" applyNumberFormat="1" applyFill="1"/>
    <xf numFmtId="26" fontId="0" fillId="7" borderId="0" xfId="0" applyFill="1"/>
    <xf numFmtId="26" fontId="0" fillId="0" borderId="0" xfId="0" applyFill="1"/>
    <xf numFmtId="26" fontId="4" fillId="0" borderId="0" xfId="0" applyFont="1"/>
    <xf numFmtId="26" fontId="0" fillId="8" borderId="0" xfId="0" applyFill="1"/>
    <xf numFmtId="26" fontId="5" fillId="0" borderId="0" xfId="0" applyFont="1"/>
    <xf numFmtId="26" fontId="6" fillId="0" borderId="0" xfId="0" applyFont="1"/>
    <xf numFmtId="2" fontId="0" fillId="0" borderId="0" xfId="0" applyNumberFormat="1" applyBorder="1"/>
    <xf numFmtId="26" fontId="6" fillId="7" borderId="0" xfId="0" applyFont="1" applyFill="1" applyAlignment="1">
      <alignment horizontal="center"/>
    </xf>
    <xf numFmtId="26" fontId="2" fillId="0" borderId="0" xfId="51" applyFont="1" applyFill="1" applyAlignment="1">
      <alignment horizontal="right"/>
    </xf>
    <xf numFmtId="26" fontId="3" fillId="0" borderId="0" xfId="51" applyFont="1" applyFill="1" applyAlignment="1">
      <alignment horizontal="center"/>
    </xf>
    <xf numFmtId="26" fontId="2" fillId="0" borderId="0" xfId="51" applyFont="1" applyFill="1" applyAlignment="1">
      <alignment horizontal="left"/>
    </xf>
    <xf numFmtId="26" fontId="0" fillId="0" borderId="1" xfId="0" applyBorder="1"/>
    <xf numFmtId="26" fontId="0" fillId="0" borderId="2" xfId="0" applyBorder="1"/>
    <xf numFmtId="26" fontId="6" fillId="0" borderId="3" xfId="0" applyFont="1" applyBorder="1" applyAlignment="1">
      <alignment horizontal="center"/>
    </xf>
    <xf numFmtId="26" fontId="6" fillId="0" borderId="2" xfId="0" applyFont="1" applyBorder="1" applyAlignment="1">
      <alignment horizontal="center"/>
    </xf>
    <xf numFmtId="26" fontId="6" fillId="0" borderId="1" xfId="0" applyFont="1" applyBorder="1" applyAlignment="1">
      <alignment horizontal="center"/>
    </xf>
    <xf numFmtId="26" fontId="6" fillId="0" borderId="4" xfId="0" applyFont="1" applyBorder="1" applyAlignment="1">
      <alignment horizontal="center"/>
    </xf>
    <xf numFmtId="26" fontId="6" fillId="0" borderId="0" xfId="0" applyFont="1" applyBorder="1" applyAlignment="1">
      <alignment horizontal="center"/>
    </xf>
    <xf numFmtId="26" fontId="0" fillId="0" borderId="4" xfId="0" applyBorder="1"/>
    <xf numFmtId="26" fontId="0" fillId="0" borderId="5" xfId="0" applyBorder="1"/>
    <xf numFmtId="26" fontId="0" fillId="0" borderId="0" xfId="0" applyBorder="1"/>
    <xf numFmtId="26" fontId="3" fillId="0" borderId="0" xfId="51" applyBorder="1" applyAlignment="1">
      <alignment horizontal="center"/>
    </xf>
    <xf numFmtId="26" fontId="0" fillId="0" borderId="0" xfId="0" applyBorder="1" applyAlignment="1">
      <alignment horizontal="center"/>
    </xf>
    <xf numFmtId="26" fontId="0" fillId="0" borderId="4" xfId="0" applyBorder="1" applyAlignment="1">
      <alignment horizontal="center"/>
    </xf>
    <xf numFmtId="26" fontId="0" fillId="0" borderId="5" xfId="0" applyBorder="1" applyAlignment="1">
      <alignment horizontal="center"/>
    </xf>
    <xf numFmtId="26" fontId="0" fillId="0" borderId="6" xfId="0" applyBorder="1" applyAlignment="1">
      <alignment horizontal="center"/>
    </xf>
    <xf numFmtId="26" fontId="0" fillId="0" borderId="7" xfId="0" applyBorder="1" applyAlignment="1">
      <alignment horizontal="center"/>
    </xf>
    <xf numFmtId="26" fontId="0" fillId="0" borderId="8" xfId="0" applyBorder="1" applyAlignment="1">
      <alignment horizontal="center"/>
    </xf>
    <xf numFmtId="26" fontId="0" fillId="0" borderId="0" xfId="0" applyAlignment="1">
      <alignment horizontal="center"/>
    </xf>
    <xf numFmtId="26" fontId="2" fillId="0" borderId="0" xfId="51" applyFont="1" applyFill="1"/>
    <xf numFmtId="26" fontId="3" fillId="0" borderId="0" xfId="51" applyBorder="1"/>
    <xf numFmtId="26" fontId="3" fillId="0" borderId="0" xfId="51" applyFill="1" applyBorder="1"/>
    <xf numFmtId="26" fontId="3" fillId="0" borderId="4" xfId="51" applyFill="1" applyBorder="1"/>
    <xf numFmtId="26" fontId="3" fillId="0" borderId="5" xfId="51" applyFill="1" applyBorder="1"/>
    <xf numFmtId="26" fontId="3" fillId="0" borderId="0" xfId="51" applyFont="1" applyFill="1" applyBorder="1"/>
    <xf numFmtId="26" fontId="3" fillId="0" borderId="9" xfId="51" applyFont="1" applyBorder="1"/>
    <xf numFmtId="26" fontId="3" fillId="0" borderId="10" xfId="51" applyFill="1" applyBorder="1"/>
    <xf numFmtId="26" fontId="3" fillId="0" borderId="9" xfId="51" applyFill="1" applyBorder="1"/>
    <xf numFmtId="26" fontId="3" fillId="0" borderId="11" xfId="51" applyFill="1" applyBorder="1"/>
    <xf numFmtId="182" fontId="3" fillId="0" borderId="3" xfId="51" applyNumberFormat="1" applyBorder="1"/>
    <xf numFmtId="26" fontId="3" fillId="0" borderId="3" xfId="51" applyBorder="1"/>
    <xf numFmtId="26" fontId="0" fillId="0" borderId="3" xfId="0" applyBorder="1"/>
    <xf numFmtId="26" fontId="3" fillId="0" borderId="1" xfId="51" applyBorder="1"/>
    <xf numFmtId="182" fontId="0" fillId="0" borderId="3" xfId="0" applyNumberFormat="1" applyBorder="1"/>
    <xf numFmtId="26" fontId="7" fillId="0" borderId="0" xfId="51" applyFont="1"/>
    <xf numFmtId="26" fontId="0" fillId="0" borderId="7" xfId="0" applyBorder="1"/>
    <xf numFmtId="1" fontId="0" fillId="0" borderId="8" xfId="0" applyNumberFormat="1" applyBorder="1"/>
    <xf numFmtId="182" fontId="3" fillId="0" borderId="6" xfId="51" applyNumberFormat="1" applyBorder="1"/>
    <xf numFmtId="26" fontId="3" fillId="0" borderId="6" xfId="51" applyBorder="1"/>
    <xf numFmtId="26" fontId="0" fillId="0" borderId="6" xfId="0" applyBorder="1"/>
    <xf numFmtId="26" fontId="3" fillId="0" borderId="7" xfId="51" applyBorder="1"/>
    <xf numFmtId="182" fontId="0" fillId="0" borderId="6" xfId="0" applyNumberFormat="1" applyBorder="1"/>
    <xf numFmtId="26" fontId="0" fillId="0" borderId="8" xfId="0" applyBorder="1"/>
    <xf numFmtId="1" fontId="0" fillId="0" borderId="5" xfId="0" applyNumberFormat="1" applyBorder="1"/>
    <xf numFmtId="182" fontId="3" fillId="0" borderId="0" xfId="51" applyNumberFormat="1" applyBorder="1"/>
    <xf numFmtId="26" fontId="3" fillId="0" borderId="4" xfId="51" applyBorder="1"/>
    <xf numFmtId="182" fontId="0" fillId="0" borderId="0" xfId="0" applyNumberFormat="1" applyBorder="1"/>
    <xf numFmtId="26" fontId="0" fillId="0" borderId="10" xfId="0" applyBorder="1"/>
    <xf numFmtId="1" fontId="0" fillId="0" borderId="11" xfId="0" applyNumberFormat="1" applyBorder="1"/>
    <xf numFmtId="182" fontId="3" fillId="0" borderId="9" xfId="51" applyNumberFormat="1" applyBorder="1"/>
    <xf numFmtId="26" fontId="3" fillId="0" borderId="9" xfId="51" applyBorder="1"/>
    <xf numFmtId="26" fontId="0" fillId="0" borderId="9" xfId="0" applyBorder="1"/>
    <xf numFmtId="26" fontId="3" fillId="0" borderId="10" xfId="51" applyBorder="1"/>
    <xf numFmtId="182" fontId="0" fillId="0" borderId="9" xfId="0" applyNumberFormat="1" applyBorder="1"/>
    <xf numFmtId="26" fontId="0" fillId="0" borderId="11" xfId="0" applyBorder="1"/>
    <xf numFmtId="26" fontId="0" fillId="9" borderId="0" xfId="0" applyFill="1"/>
    <xf numFmtId="2" fontId="0" fillId="0" borderId="0" xfId="0" applyNumberFormat="1"/>
    <xf numFmtId="26" fontId="8" fillId="0" borderId="0" xfId="0" applyFont="1"/>
    <xf numFmtId="26" fontId="0" fillId="0" borderId="0" xfId="0" applyProtection="1">
      <protection hidden="1"/>
    </xf>
    <xf numFmtId="2" fontId="0" fillId="0" borderId="1" xfId="0" applyNumberFormat="1" applyBorder="1"/>
    <xf numFmtId="2" fontId="0" fillId="0" borderId="4" xfId="0" applyNumberFormat="1" applyBorder="1"/>
    <xf numFmtId="2" fontId="0" fillId="0" borderId="10" xfId="0" applyNumberFormat="1" applyBorder="1"/>
    <xf numFmtId="26" fontId="3" fillId="0" borderId="9" xfId="51" applyFont="1" applyFill="1" applyBorder="1"/>
    <xf numFmtId="26" fontId="0" fillId="10" borderId="0" xfId="0" applyFill="1"/>
    <xf numFmtId="182" fontId="3" fillId="0" borderId="0" xfId="51" applyNumberFormat="1"/>
    <xf numFmtId="26" fontId="9" fillId="0" borderId="0" xfId="0" applyFont="1"/>
    <xf numFmtId="182" fontId="0" fillId="7" borderId="0" xfId="0" applyNumberFormat="1" applyFill="1"/>
    <xf numFmtId="1" fontId="0" fillId="7" borderId="0" xfId="0" applyNumberFormat="1" applyFill="1"/>
    <xf numFmtId="2" fontId="0" fillId="7" borderId="0" xfId="0" applyNumberFormat="1" applyFill="1"/>
    <xf numFmtId="26" fontId="2" fillId="0" borderId="0" xfId="0" applyFont="1" applyBorder="1"/>
    <xf numFmtId="2" fontId="3" fillId="0" borderId="0" xfId="0" applyNumberFormat="1" applyFont="1" applyBorder="1"/>
    <xf numFmtId="26" fontId="0" fillId="0" borderId="0" xfId="0" applyBorder="1" applyAlignment="1">
      <alignment horizontal="left"/>
    </xf>
    <xf numFmtId="26" fontId="2" fillId="0" borderId="0" xfId="0" applyFont="1" applyBorder="1" applyAlignment="1">
      <alignment horizontal="left"/>
    </xf>
    <xf numFmtId="182" fontId="0" fillId="0" borderId="0" xfId="0" applyNumberFormat="1"/>
    <xf numFmtId="26" fontId="0" fillId="0" borderId="12" xfId="0" applyBorder="1"/>
    <xf numFmtId="26" fontId="0" fillId="0" borderId="13" xfId="0" applyBorder="1" applyAlignment="1">
      <alignment horizontal="center"/>
    </xf>
    <xf numFmtId="26" fontId="0" fillId="0" borderId="14" xfId="0" applyBorder="1" applyAlignment="1">
      <alignment horizontal="center"/>
    </xf>
    <xf numFmtId="26" fontId="0" fillId="0" borderId="15" xfId="0" applyBorder="1" applyAlignment="1">
      <alignment horizontal="center"/>
    </xf>
    <xf numFmtId="26" fontId="0" fillId="0" borderId="13" xfId="0" applyBorder="1" applyAlignment="1">
      <alignment horizontal="center" wrapText="1"/>
    </xf>
    <xf numFmtId="26" fontId="0" fillId="0" borderId="14" xfId="0" applyBorder="1" applyAlignment="1">
      <alignment horizontal="center" wrapText="1"/>
    </xf>
    <xf numFmtId="26" fontId="0" fillId="0" borderId="15" xfId="0" applyBorder="1" applyAlignment="1">
      <alignment horizontal="center" wrapText="1"/>
    </xf>
    <xf numFmtId="26" fontId="0" fillId="0" borderId="14" xfId="0" applyBorder="1"/>
    <xf numFmtId="26" fontId="0" fillId="0" borderId="15" xfId="0" applyBorder="1"/>
    <xf numFmtId="26" fontId="0" fillId="0" borderId="16" xfId="0" applyBorder="1"/>
    <xf numFmtId="26" fontId="0" fillId="0" borderId="17" xfId="0" applyBorder="1"/>
    <xf numFmtId="26" fontId="0" fillId="0" borderId="18" xfId="0" applyBorder="1"/>
    <xf numFmtId="26" fontId="0" fillId="0" borderId="16" xfId="0" applyFill="1" applyBorder="1"/>
    <xf numFmtId="26" fontId="0" fillId="0" borderId="17" xfId="0" applyFill="1" applyBorder="1"/>
    <xf numFmtId="26" fontId="0" fillId="11" borderId="17" xfId="0" applyFill="1" applyBorder="1"/>
    <xf numFmtId="26" fontId="0" fillId="11" borderId="18" xfId="0" applyFill="1" applyBorder="1"/>
    <xf numFmtId="26" fontId="0" fillId="0" borderId="18" xfId="0" applyFill="1" applyBorder="1"/>
    <xf numFmtId="26" fontId="0" fillId="0" borderId="19" xfId="0" applyBorder="1"/>
    <xf numFmtId="26" fontId="0" fillId="0" borderId="20" xfId="0" applyBorder="1"/>
    <xf numFmtId="26" fontId="0" fillId="0" borderId="21" xfId="0" applyBorder="1"/>
    <xf numFmtId="26" fontId="10" fillId="0" borderId="0" xfId="51" applyFont="1" applyBorder="1"/>
    <xf numFmtId="26" fontId="2" fillId="0" borderId="0" xfId="51" applyFont="1" applyBorder="1"/>
    <xf numFmtId="26" fontId="2" fillId="0" borderId="0" xfId="51" applyFont="1" applyBorder="1" applyAlignment="1">
      <alignment horizontal="center"/>
    </xf>
    <xf numFmtId="2" fontId="0" fillId="8" borderId="0" xfId="0" applyNumberFormat="1" applyFill="1"/>
    <xf numFmtId="26" fontId="0" fillId="12" borderId="0" xfId="0" applyFill="1"/>
    <xf numFmtId="26" fontId="0" fillId="0" borderId="0" xfId="0" applyFont="1"/>
    <xf numFmtId="26" fontId="11" fillId="0" borderId="0" xfId="0" applyFont="1" applyFill="1" applyBorder="1"/>
    <xf numFmtId="26" fontId="12" fillId="0" borderId="0" xfId="0" applyFont="1" applyFill="1" applyBorder="1"/>
    <xf numFmtId="11" fontId="0" fillId="7" borderId="0" xfId="0" applyNumberFormat="1" applyFill="1"/>
    <xf numFmtId="26" fontId="13" fillId="0" borderId="0" xfId="0" applyFont="1"/>
    <xf numFmtId="26" fontId="0" fillId="6" borderId="0" xfId="0" applyFont="1" applyFill="1"/>
    <xf numFmtId="11" fontId="0" fillId="0" borderId="0" xfId="0" applyNumberFormat="1" applyFill="1"/>
    <xf numFmtId="11" fontId="14" fillId="8" borderId="0" xfId="0" applyNumberFormat="1" applyFont="1" applyFill="1"/>
    <xf numFmtId="11" fontId="14" fillId="0" borderId="0" xfId="0" applyNumberFormat="1" applyFont="1" applyFill="1"/>
    <xf numFmtId="26" fontId="15" fillId="0" borderId="0" xfId="0" applyFont="1"/>
    <xf numFmtId="183" fontId="0" fillId="7" borderId="0" xfId="0" applyNumberFormat="1" applyFill="1"/>
    <xf numFmtId="26" fontId="16" fillId="0" borderId="0" xfId="0" applyFont="1"/>
    <xf numFmtId="181" fontId="0" fillId="0" borderId="0" xfId="0" applyNumberFormat="1" applyFill="1"/>
    <xf numFmtId="182" fontId="0" fillId="0" borderId="0" xfId="0" applyNumberFormat="1" applyFill="1"/>
    <xf numFmtId="2" fontId="0" fillId="0" borderId="0" xfId="0" applyNumberFormat="1" applyFill="1"/>
    <xf numFmtId="184" fontId="0" fillId="7" borderId="0" xfId="0" applyNumberFormat="1" applyFill="1"/>
    <xf numFmtId="185" fontId="0" fillId="7" borderId="0" xfId="0" applyNumberFormat="1" applyFill="1"/>
    <xf numFmtId="26" fontId="14" fillId="8" borderId="0" xfId="0" applyFont="1" applyFill="1"/>
    <xf numFmtId="26" fontId="17" fillId="0" borderId="0" xfId="0" applyFont="1"/>
    <xf numFmtId="26" fontId="0" fillId="0" borderId="0" xfId="0" applyFill="1" applyBorder="1"/>
    <xf numFmtId="1" fontId="0" fillId="0" borderId="0" xfId="0" applyNumberFormat="1" applyFill="1"/>
    <xf numFmtId="26" fontId="5" fillId="0" borderId="0" xfId="0" applyFont="1" applyFill="1"/>
    <xf numFmtId="26" fontId="18" fillId="0" borderId="0" xfId="0" applyFont="1"/>
    <xf numFmtId="186" fontId="0" fillId="0" borderId="0" xfId="0" applyNumberFormat="1"/>
    <xf numFmtId="1" fontId="0" fillId="0" borderId="0" xfId="0" applyNumberFormat="1"/>
    <xf numFmtId="187" fontId="0" fillId="7" borderId="0" xfId="0" applyNumberFormat="1" applyFill="1"/>
    <xf numFmtId="26" fontId="14" fillId="0" borderId="0" xfId="0" applyFont="1"/>
    <xf numFmtId="26" fontId="3" fillId="0" borderId="0" xfId="51" applyFont="1" applyFill="1" applyBorder="1" applyAlignment="1" applyProtection="1">
      <alignment horizontal="left"/>
    </xf>
    <xf numFmtId="26" fontId="3" fillId="0" borderId="9" xfId="51" applyFont="1" applyFill="1" applyBorder="1" applyAlignment="1" applyProtection="1">
      <alignment horizontal="left"/>
    </xf>
    <xf numFmtId="26" fontId="19" fillId="13" borderId="0" xfId="0" applyFont="1" applyFill="1" applyAlignment="1">
      <alignment horizontal="center"/>
    </xf>
    <xf numFmtId="26" fontId="19" fillId="13" borderId="0" xfId="0" applyFont="1" applyFill="1" applyAlignment="1">
      <alignment horizontal="left"/>
    </xf>
    <xf numFmtId="26" fontId="19" fillId="13" borderId="0" xfId="0" applyFont="1" applyFill="1"/>
    <xf numFmtId="26" fontId="19" fillId="14" borderId="0" xfId="0" applyFont="1" applyFill="1" applyAlignment="1">
      <alignment horizontal="center"/>
    </xf>
    <xf numFmtId="26" fontId="20" fillId="13" borderId="0" xfId="0" applyFont="1" applyFill="1" applyAlignment="1">
      <alignment horizontal="center"/>
    </xf>
    <xf numFmtId="49" fontId="20" fillId="13" borderId="0" xfId="0" applyNumberFormat="1" applyFont="1" applyFill="1" applyAlignment="1">
      <alignment horizontal="left"/>
    </xf>
    <xf numFmtId="26" fontId="21" fillId="13" borderId="0" xfId="0" applyFont="1" applyFill="1"/>
    <xf numFmtId="26" fontId="22" fillId="13" borderId="0" xfId="6" applyFont="1" applyFill="1" applyBorder="1" applyAlignment="1">
      <alignment vertical="center"/>
    </xf>
    <xf numFmtId="26" fontId="22" fillId="13" borderId="0" xfId="6" applyFont="1" applyFill="1" applyBorder="1" applyAlignment="1">
      <alignment horizontal="right" vertical="center"/>
    </xf>
    <xf numFmtId="26" fontId="20" fillId="13" borderId="0" xfId="0" applyFont="1" applyFill="1" applyAlignment="1">
      <alignment horizontal="left"/>
    </xf>
    <xf numFmtId="26" fontId="21" fillId="13" borderId="0" xfId="0" applyFont="1" applyFill="1" applyAlignment="1">
      <alignment horizontal="center"/>
    </xf>
    <xf numFmtId="26" fontId="3" fillId="13" borderId="0" xfId="0" applyFont="1" applyFill="1" applyAlignment="1"/>
    <xf numFmtId="26" fontId="23" fillId="13" borderId="0" xfId="0" applyFont="1" applyFill="1" applyAlignment="1">
      <alignment horizontal="center"/>
    </xf>
    <xf numFmtId="26" fontId="23" fillId="15" borderId="0" xfId="0" applyFont="1" applyFill="1" applyAlignment="1">
      <alignment horizontal="left"/>
    </xf>
    <xf numFmtId="26" fontId="21" fillId="13" borderId="0" xfId="0" applyFont="1" applyFill="1" applyAlignment="1">
      <alignment horizontal="left"/>
    </xf>
    <xf numFmtId="49" fontId="21" fillId="13" borderId="0" xfId="0" applyNumberFormat="1" applyFont="1" applyFill="1" applyAlignment="1">
      <alignment horizontal="center"/>
    </xf>
    <xf numFmtId="26" fontId="21" fillId="13" borderId="0" xfId="0" applyFont="1" applyFill="1" applyAlignment="1">
      <alignment wrapText="1"/>
    </xf>
    <xf numFmtId="26" fontId="24" fillId="13" borderId="0" xfId="6" applyFont="1" applyFill="1" applyBorder="1" applyAlignment="1">
      <alignment vertical="center"/>
    </xf>
    <xf numFmtId="26" fontId="0" fillId="16" borderId="0" xfId="0" applyFill="1" applyBorder="1" applyProtection="1">
      <protection hidden="1"/>
    </xf>
    <xf numFmtId="26" fontId="0" fillId="16" borderId="22" xfId="0" applyFill="1" applyBorder="1" applyProtection="1">
      <protection hidden="1"/>
    </xf>
    <xf numFmtId="26" fontId="0" fillId="16" borderId="0" xfId="0" applyFill="1" applyProtection="1">
      <protection hidden="1"/>
    </xf>
    <xf numFmtId="26" fontId="0" fillId="16" borderId="0" xfId="0" applyFill="1" applyAlignment="1" applyProtection="1">
      <alignment horizontal="right"/>
      <protection hidden="1"/>
    </xf>
    <xf numFmtId="26" fontId="14" fillId="16" borderId="0" xfId="0" applyFont="1" applyFill="1" applyProtection="1">
      <protection hidden="1"/>
    </xf>
    <xf numFmtId="26" fontId="0" fillId="17" borderId="0" xfId="0" applyFill="1" applyProtection="1">
      <protection hidden="1"/>
    </xf>
    <xf numFmtId="26" fontId="25" fillId="17" borderId="0" xfId="0" applyFont="1" applyFill="1" applyAlignment="1" applyProtection="1">
      <alignment horizontal="left" vertical="center"/>
      <protection hidden="1"/>
    </xf>
    <xf numFmtId="26" fontId="0" fillId="17" borderId="0" xfId="0" applyFill="1" applyAlignment="1" applyProtection="1">
      <alignment horizontal="right"/>
      <protection hidden="1"/>
    </xf>
    <xf numFmtId="26" fontId="0" fillId="17" borderId="0" xfId="0" applyFill="1" applyBorder="1" applyProtection="1">
      <protection hidden="1"/>
    </xf>
    <xf numFmtId="26" fontId="14" fillId="18" borderId="0" xfId="0" applyFont="1" applyFill="1" applyProtection="1">
      <protection hidden="1"/>
    </xf>
    <xf numFmtId="26" fontId="0" fillId="18" borderId="0" xfId="0" applyFill="1" applyBorder="1" applyProtection="1">
      <protection hidden="1"/>
    </xf>
    <xf numFmtId="26" fontId="0" fillId="18" borderId="0" xfId="0" applyFill="1" applyBorder="1" applyAlignment="1" applyProtection="1">
      <alignment horizontal="right"/>
      <protection hidden="1"/>
    </xf>
    <xf numFmtId="26" fontId="14" fillId="18" borderId="0" xfId="0" applyFont="1" applyFill="1" applyBorder="1" applyProtection="1">
      <protection hidden="1"/>
    </xf>
    <xf numFmtId="26" fontId="26" fillId="18" borderId="0" xfId="0" applyFont="1" applyFill="1" applyBorder="1" applyProtection="1">
      <protection hidden="1"/>
    </xf>
    <xf numFmtId="26" fontId="0" fillId="12" borderId="0" xfId="0" applyFill="1" applyBorder="1" applyProtection="1">
      <protection hidden="1"/>
    </xf>
    <xf numFmtId="26" fontId="27" fillId="18" borderId="0" xfId="6" applyFont="1" applyFill="1" applyBorder="1" applyAlignment="1" applyProtection="1">
      <alignment horizontal="right"/>
      <protection locked="0"/>
    </xf>
    <xf numFmtId="26" fontId="0" fillId="18" borderId="22" xfId="0" applyFill="1" applyBorder="1" applyProtection="1">
      <protection hidden="1"/>
    </xf>
    <xf numFmtId="26" fontId="0" fillId="18" borderId="22" xfId="0" applyFill="1" applyBorder="1" applyAlignment="1" applyProtection="1">
      <alignment horizontal="right"/>
      <protection hidden="1"/>
    </xf>
    <xf numFmtId="26" fontId="14" fillId="18" borderId="22" xfId="0" applyFont="1" applyFill="1" applyBorder="1" applyProtection="1">
      <protection hidden="1"/>
    </xf>
    <xf numFmtId="26" fontId="0" fillId="13" borderId="0" xfId="0" applyFill="1" applyProtection="1">
      <protection hidden="1"/>
    </xf>
    <xf numFmtId="26" fontId="0" fillId="13" borderId="0" xfId="0" applyFill="1" applyAlignment="1" applyProtection="1">
      <alignment horizontal="right"/>
      <protection hidden="1"/>
    </xf>
    <xf numFmtId="49" fontId="0" fillId="13" borderId="0" xfId="0" applyNumberFormat="1" applyFill="1" applyProtection="1">
      <protection hidden="1"/>
    </xf>
    <xf numFmtId="26" fontId="0" fillId="13" borderId="0" xfId="0" applyFill="1" applyBorder="1" applyProtection="1">
      <protection hidden="1"/>
    </xf>
    <xf numFmtId="26" fontId="11" fillId="13" borderId="0" xfId="0" applyFont="1" applyFill="1" applyProtection="1">
      <protection hidden="1"/>
    </xf>
    <xf numFmtId="26" fontId="0" fillId="13" borderId="7" xfId="0" applyFill="1" applyBorder="1" applyProtection="1">
      <protection hidden="1"/>
    </xf>
    <xf numFmtId="26" fontId="0" fillId="13" borderId="6" xfId="0" applyFill="1" applyBorder="1" applyProtection="1">
      <protection hidden="1"/>
    </xf>
    <xf numFmtId="26" fontId="28" fillId="13" borderId="6" xfId="51" applyFont="1" applyFill="1" applyBorder="1" applyAlignment="1" applyProtection="1">
      <alignment horizontal="right"/>
      <protection hidden="1"/>
    </xf>
    <xf numFmtId="26" fontId="0" fillId="12" borderId="23" xfId="0" applyFill="1" applyBorder="1" applyProtection="1">
      <protection locked="0"/>
    </xf>
    <xf numFmtId="26" fontId="0" fillId="13" borderId="8" xfId="0" applyFill="1" applyBorder="1" applyProtection="1">
      <protection hidden="1"/>
    </xf>
    <xf numFmtId="26" fontId="0" fillId="13" borderId="4" xfId="0" applyFill="1" applyBorder="1" applyProtection="1">
      <protection hidden="1"/>
    </xf>
    <xf numFmtId="26" fontId="28" fillId="13" borderId="0" xfId="51" applyFont="1" applyFill="1" applyBorder="1" applyAlignment="1" applyProtection="1">
      <alignment horizontal="right"/>
      <protection hidden="1"/>
    </xf>
    <xf numFmtId="26" fontId="0" fillId="12" borderId="24" xfId="0" applyFill="1" applyBorder="1" applyProtection="1">
      <protection locked="0"/>
    </xf>
    <xf numFmtId="26" fontId="0" fillId="13" borderId="5" xfId="0" applyFill="1" applyBorder="1" applyProtection="1">
      <protection hidden="1"/>
    </xf>
    <xf numFmtId="2" fontId="0" fillId="13" borderId="24" xfId="0" applyNumberFormat="1" applyFill="1" applyBorder="1" applyProtection="1">
      <protection hidden="1"/>
    </xf>
    <xf numFmtId="26" fontId="0" fillId="13" borderId="24" xfId="0" applyFill="1" applyBorder="1" applyProtection="1">
      <protection hidden="1"/>
    </xf>
    <xf numFmtId="26" fontId="28" fillId="13" borderId="4" xfId="0" applyFont="1" applyFill="1" applyBorder="1" applyProtection="1">
      <protection hidden="1"/>
    </xf>
    <xf numFmtId="26" fontId="28" fillId="13" borderId="0" xfId="0" applyFont="1" applyFill="1" applyBorder="1" applyProtection="1">
      <protection hidden="1"/>
    </xf>
    <xf numFmtId="26" fontId="28" fillId="13" borderId="0" xfId="0" applyFont="1" applyFill="1" applyBorder="1" applyAlignment="1" applyProtection="1">
      <alignment horizontal="right"/>
      <protection hidden="1"/>
    </xf>
    <xf numFmtId="186" fontId="0" fillId="13" borderId="24" xfId="0" applyNumberFormat="1" applyFill="1" applyBorder="1" applyProtection="1">
      <protection hidden="1"/>
    </xf>
    <xf numFmtId="26" fontId="28" fillId="13" borderId="10" xfId="0" applyFont="1" applyFill="1" applyBorder="1" applyProtection="1">
      <protection hidden="1"/>
    </xf>
    <xf numFmtId="26" fontId="28" fillId="13" borderId="9" xfId="0" applyFont="1" applyFill="1" applyBorder="1" applyProtection="1">
      <protection hidden="1"/>
    </xf>
    <xf numFmtId="26" fontId="0" fillId="13" borderId="9" xfId="0" applyFill="1" applyBorder="1" applyProtection="1">
      <protection hidden="1"/>
    </xf>
    <xf numFmtId="26" fontId="28" fillId="13" borderId="9" xfId="0" applyFont="1" applyFill="1" applyBorder="1" applyAlignment="1" applyProtection="1">
      <alignment horizontal="right"/>
      <protection hidden="1"/>
    </xf>
    <xf numFmtId="186" fontId="0" fillId="13" borderId="25" xfId="0" applyNumberFormat="1" applyFill="1" applyBorder="1" applyProtection="1">
      <protection hidden="1"/>
    </xf>
    <xf numFmtId="26" fontId="0" fillId="13" borderId="11" xfId="0" applyFill="1" applyBorder="1" applyProtection="1">
      <protection hidden="1"/>
    </xf>
    <xf numFmtId="26" fontId="28" fillId="13" borderId="0" xfId="0" applyFont="1" applyFill="1" applyProtection="1">
      <protection hidden="1"/>
    </xf>
    <xf numFmtId="26" fontId="11" fillId="13" borderId="0" xfId="0" applyFont="1" applyFill="1" applyBorder="1" applyProtection="1">
      <protection hidden="1"/>
    </xf>
    <xf numFmtId="26" fontId="11" fillId="13" borderId="7" xfId="0" applyFont="1" applyFill="1" applyBorder="1" applyProtection="1">
      <protection hidden="1"/>
    </xf>
    <xf numFmtId="26" fontId="28" fillId="13" borderId="6" xfId="0" applyFont="1" applyFill="1" applyBorder="1" applyProtection="1">
      <protection hidden="1"/>
    </xf>
    <xf numFmtId="26" fontId="28" fillId="13" borderId="6" xfId="0" applyFont="1" applyFill="1" applyBorder="1" applyAlignment="1" applyProtection="1">
      <alignment horizontal="right"/>
      <protection hidden="1"/>
    </xf>
    <xf numFmtId="26" fontId="6" fillId="13" borderId="23" xfId="0" applyFont="1" applyFill="1" applyBorder="1" applyAlignment="1" applyProtection="1">
      <alignment horizontal="center"/>
      <protection hidden="1"/>
    </xf>
    <xf numFmtId="2" fontId="0" fillId="0" borderId="24" xfId="0" applyNumberFormat="1" applyBorder="1" applyProtection="1">
      <protection hidden="1"/>
    </xf>
    <xf numFmtId="26" fontId="0" fillId="13" borderId="10" xfId="0" applyFill="1" applyBorder="1" applyProtection="1">
      <protection hidden="1"/>
    </xf>
    <xf numFmtId="26" fontId="28" fillId="13" borderId="9" xfId="51" applyFont="1" applyFill="1" applyBorder="1" applyAlignment="1" applyProtection="1">
      <alignment horizontal="right"/>
      <protection hidden="1"/>
    </xf>
    <xf numFmtId="2" fontId="0" fillId="0" borderId="25" xfId="0" applyNumberFormat="1" applyBorder="1" applyProtection="1">
      <protection hidden="1"/>
    </xf>
    <xf numFmtId="26" fontId="0" fillId="13" borderId="0" xfId="0" applyFill="1" applyBorder="1" applyAlignment="1" applyProtection="1">
      <alignment horizontal="right"/>
      <protection hidden="1"/>
    </xf>
    <xf numFmtId="1" fontId="0" fillId="13" borderId="24" xfId="0" applyNumberFormat="1" applyFill="1" applyBorder="1" applyProtection="1">
      <protection hidden="1"/>
    </xf>
    <xf numFmtId="26" fontId="5" fillId="13" borderId="5" xfId="0" applyFont="1" applyFill="1" applyBorder="1" applyProtection="1">
      <protection hidden="1"/>
    </xf>
    <xf numFmtId="26" fontId="0" fillId="13" borderId="9" xfId="0" applyFill="1" applyBorder="1" applyAlignment="1" applyProtection="1">
      <alignment horizontal="right"/>
      <protection hidden="1"/>
    </xf>
    <xf numFmtId="2" fontId="0" fillId="13" borderId="25" xfId="0" applyNumberFormat="1" applyFill="1" applyBorder="1" applyProtection="1">
      <protection hidden="1"/>
    </xf>
    <xf numFmtId="26" fontId="5" fillId="13" borderId="11" xfId="0" applyFont="1" applyFill="1" applyBorder="1" applyProtection="1">
      <protection hidden="1"/>
    </xf>
    <xf numFmtId="26" fontId="0" fillId="13" borderId="6" xfId="0" applyFill="1" applyBorder="1" applyAlignment="1" applyProtection="1">
      <alignment horizontal="right"/>
      <protection hidden="1"/>
    </xf>
    <xf numFmtId="2" fontId="0" fillId="13" borderId="23" xfId="0" applyNumberFormat="1" applyFill="1" applyBorder="1" applyProtection="1">
      <protection hidden="1"/>
    </xf>
    <xf numFmtId="26" fontId="0" fillId="12" borderId="25" xfId="0" applyFill="1" applyBorder="1" applyProtection="1">
      <protection locked="0"/>
    </xf>
    <xf numFmtId="2" fontId="0" fillId="13" borderId="0" xfId="0" applyNumberFormat="1" applyFill="1" applyBorder="1" applyProtection="1">
      <protection hidden="1"/>
    </xf>
    <xf numFmtId="1" fontId="0" fillId="13" borderId="0" xfId="0" applyNumberFormat="1" applyFill="1" applyBorder="1" applyProtection="1">
      <protection hidden="1"/>
    </xf>
    <xf numFmtId="26" fontId="29" fillId="13" borderId="0" xfId="0" applyFont="1" applyFill="1" applyProtection="1">
      <protection hidden="1"/>
    </xf>
    <xf numFmtId="26" fontId="5" fillId="13" borderId="0" xfId="0" applyFont="1" applyFill="1" applyBorder="1" applyProtection="1">
      <protection hidden="1"/>
    </xf>
    <xf numFmtId="182" fontId="0" fillId="13" borderId="0" xfId="0" applyNumberFormat="1" applyFill="1" applyBorder="1" applyProtection="1">
      <protection hidden="1"/>
    </xf>
    <xf numFmtId="26" fontId="14" fillId="13" borderId="6" xfId="0" applyFont="1" applyFill="1" applyBorder="1" applyAlignment="1" applyProtection="1">
      <alignment horizontal="right"/>
      <protection hidden="1"/>
    </xf>
    <xf numFmtId="26" fontId="0" fillId="12" borderId="23" xfId="0" applyFont="1" applyFill="1" applyBorder="1" applyAlignment="1" applyProtection="1">
      <alignment vertical="top"/>
      <protection locked="0"/>
    </xf>
    <xf numFmtId="26" fontId="0" fillId="0" borderId="24" xfId="0" applyFont="1" applyFill="1" applyBorder="1" applyAlignment="1" applyProtection="1">
      <alignment vertical="top"/>
      <protection hidden="1"/>
    </xf>
    <xf numFmtId="26" fontId="11" fillId="13" borderId="4" xfId="0" applyFont="1" applyFill="1" applyBorder="1" applyProtection="1">
      <protection hidden="1"/>
    </xf>
    <xf numFmtId="26" fontId="6" fillId="13" borderId="0" xfId="0" applyFont="1" applyFill="1" applyBorder="1" applyAlignment="1" applyProtection="1">
      <alignment horizontal="right"/>
      <protection hidden="1"/>
    </xf>
    <xf numFmtId="182" fontId="0" fillId="13" borderId="24" xfId="0" applyNumberFormat="1" applyFill="1" applyBorder="1" applyProtection="1">
      <protection hidden="1"/>
    </xf>
    <xf numFmtId="26" fontId="0" fillId="13" borderId="0" xfId="0" applyFill="1" applyBorder="1" applyAlignment="1" applyProtection="1">
      <alignment horizontal="center"/>
      <protection hidden="1"/>
    </xf>
    <xf numFmtId="26" fontId="0" fillId="13" borderId="24" xfId="0" applyFill="1" applyBorder="1" applyAlignment="1" applyProtection="1">
      <alignment horizontal="center"/>
      <protection hidden="1"/>
    </xf>
    <xf numFmtId="26" fontId="0" fillId="13" borderId="5" xfId="0" applyFill="1" applyBorder="1" applyAlignment="1" applyProtection="1">
      <alignment horizontal="center"/>
      <protection hidden="1"/>
    </xf>
    <xf numFmtId="182" fontId="0" fillId="13" borderId="1" xfId="0" applyNumberFormat="1" applyFill="1" applyBorder="1" applyProtection="1">
      <protection hidden="1"/>
    </xf>
    <xf numFmtId="26" fontId="5" fillId="13" borderId="26" xfId="0" applyFont="1" applyFill="1" applyBorder="1" applyAlignment="1" applyProtection="1">
      <alignment horizontal="left"/>
      <protection hidden="1"/>
    </xf>
    <xf numFmtId="26" fontId="0" fillId="12" borderId="26" xfId="0" applyFill="1" applyBorder="1" applyProtection="1">
      <protection locked="0"/>
    </xf>
    <xf numFmtId="2" fontId="0" fillId="13" borderId="1" xfId="0" applyNumberFormat="1" applyFill="1" applyBorder="1" applyProtection="1">
      <protection hidden="1"/>
    </xf>
    <xf numFmtId="1" fontId="0" fillId="13" borderId="10" xfId="0" applyNumberFormat="1" applyFill="1" applyBorder="1" applyProtection="1">
      <protection hidden="1"/>
    </xf>
    <xf numFmtId="26" fontId="0" fillId="13" borderId="25" xfId="0" applyFill="1" applyBorder="1" applyAlignment="1" applyProtection="1">
      <alignment horizontal="left"/>
      <protection hidden="1"/>
    </xf>
    <xf numFmtId="1" fontId="0" fillId="13" borderId="0" xfId="0" applyNumberFormat="1" applyFill="1" applyProtection="1">
      <protection hidden="1"/>
    </xf>
    <xf numFmtId="26" fontId="0" fillId="0" borderId="0" xfId="0" applyFill="1" applyProtection="1">
      <protection hidden="1"/>
    </xf>
    <xf numFmtId="26" fontId="30" fillId="19" borderId="0" xfId="0" applyFont="1" applyFill="1" applyProtection="1">
      <protection hidden="1"/>
    </xf>
    <xf numFmtId="26" fontId="0" fillId="19" borderId="0" xfId="0" applyFill="1" applyProtection="1">
      <protection hidden="1"/>
    </xf>
    <xf numFmtId="26" fontId="0" fillId="19" borderId="0" xfId="0" applyFill="1" applyAlignment="1" applyProtection="1">
      <alignment horizontal="right"/>
      <protection hidden="1"/>
    </xf>
    <xf numFmtId="26" fontId="0" fillId="15" borderId="0" xfId="0" applyFill="1" applyProtection="1">
      <protection hidden="1"/>
    </xf>
    <xf numFmtId="26" fontId="0" fillId="15" borderId="0" xfId="0" applyFill="1" applyBorder="1" applyProtection="1">
      <protection hidden="1"/>
    </xf>
    <xf numFmtId="26" fontId="31" fillId="13" borderId="0" xfId="0" applyFont="1" applyFill="1" applyBorder="1" applyAlignment="1" applyProtection="1">
      <alignment horizontal="left"/>
      <protection hidden="1"/>
    </xf>
    <xf numFmtId="26" fontId="3" fillId="13" borderId="6" xfId="51" applyFont="1" applyFill="1" applyBorder="1" applyAlignment="1" applyProtection="1">
      <alignment horizontal="right"/>
      <protection hidden="1"/>
    </xf>
    <xf numFmtId="26" fontId="3" fillId="13" borderId="8" xfId="51" applyFont="1" applyFill="1" applyBorder="1" applyProtection="1">
      <protection hidden="1"/>
    </xf>
    <xf numFmtId="26" fontId="0" fillId="0" borderId="0" xfId="0" applyBorder="1" applyProtection="1">
      <protection hidden="1"/>
    </xf>
    <xf numFmtId="26" fontId="3" fillId="13" borderId="0" xfId="51" applyFont="1" applyFill="1" applyBorder="1" applyAlignment="1" applyProtection="1">
      <alignment horizontal="right"/>
      <protection hidden="1"/>
    </xf>
    <xf numFmtId="26" fontId="3" fillId="13" borderId="5" xfId="51" applyFont="1" applyFill="1" applyBorder="1" applyProtection="1">
      <protection hidden="1"/>
    </xf>
    <xf numFmtId="26" fontId="3" fillId="13" borderId="9" xfId="51" applyFont="1" applyFill="1" applyBorder="1" applyAlignment="1" applyProtection="1">
      <alignment horizontal="right"/>
      <protection hidden="1"/>
    </xf>
    <xf numFmtId="26" fontId="3" fillId="13" borderId="11" xfId="51" applyFont="1" applyFill="1" applyBorder="1" applyProtection="1">
      <protection hidden="1"/>
    </xf>
    <xf numFmtId="26" fontId="31" fillId="13" borderId="0" xfId="0" applyFont="1" applyFill="1" applyAlignment="1" applyProtection="1">
      <alignment horizontal="left"/>
      <protection hidden="1"/>
    </xf>
    <xf numFmtId="26" fontId="0" fillId="0" borderId="23" xfId="0" applyBorder="1" applyProtection="1">
      <protection hidden="1"/>
    </xf>
    <xf numFmtId="26" fontId="0" fillId="18" borderId="0" xfId="0" applyFill="1" applyProtection="1">
      <protection hidden="1"/>
    </xf>
    <xf numFmtId="26" fontId="0" fillId="18" borderId="0" xfId="0" applyFill="1" applyAlignment="1" applyProtection="1">
      <alignment horizontal="right"/>
      <protection hidden="1"/>
    </xf>
    <xf numFmtId="26" fontId="26" fillId="18" borderId="0" xfId="0" applyFont="1" applyFill="1" applyBorder="1" applyProtection="1" quotePrefix="1">
      <protection hidden="1"/>
    </xf>
  </cellXfs>
  <cellStyles count="56">
    <cellStyle name="Normalny" xfId="0" builtinId="0"/>
    <cellStyle name="Dziesiętny" xfId="1" builtinId="3"/>
    <cellStyle name="Walutowy" xfId="2" builtinId="4"/>
    <cellStyle name="Procentowy" xfId="3" builtinId="5"/>
    <cellStyle name="Przecinek [0]" xfId="4" builtinId="6"/>
    <cellStyle name="Waluta [0]" xfId="5" builtinId="7"/>
    <cellStyle name="Hiperłącze" xfId="6" builtinId="8"/>
    <cellStyle name="Użyte hiperłącze" xfId="7" builtinId="9"/>
    <cellStyle name="Uwaga" xfId="8" builtinId="10"/>
    <cellStyle name="Tekst ostrzeżenia" xfId="9" builtinId="11"/>
    <cellStyle name="Tytuł" xfId="10" builtinId="15"/>
    <cellStyle name="Tekst objaśnienia" xfId="11" builtinId="53"/>
    <cellStyle name="Nagłówek 1" xfId="12" builtinId="16"/>
    <cellStyle name="Nagłówek 2" xfId="13" builtinId="17"/>
    <cellStyle name="Nagłówek 3" xfId="14" builtinId="18"/>
    <cellStyle name="Nagłówek 4" xfId="15" builtinId="19"/>
    <cellStyle name="Dane wejściowe" xfId="16" builtinId="20"/>
    <cellStyle name="Dane wyjściowe" xfId="17" builtinId="21"/>
    <cellStyle name="Obliczenia" xfId="18" builtinId="22"/>
    <cellStyle name="Komórka zaznaczona" xfId="19" builtinId="23"/>
    <cellStyle name="Komórka połączona" xfId="20" builtinId="24"/>
    <cellStyle name="Suma" xfId="21" builtinId="25"/>
    <cellStyle name="Dobre" xfId="22" builtinId="26"/>
    <cellStyle name="Złe" xfId="23" builtinId="27"/>
    <cellStyle name="Neutralne" xfId="24" builtinId="28"/>
    <cellStyle name="Akcent 1" xfId="25" builtinId="29"/>
    <cellStyle name="20% - Akcent 1" xfId="26" builtinId="30"/>
    <cellStyle name="40% - Akcent 1" xfId="27" builtinId="31"/>
    <cellStyle name="60% - Akcent 1" xfId="28" builtinId="32"/>
    <cellStyle name="Akcent 2" xfId="29" builtinId="33"/>
    <cellStyle name="20% - Akcent 2" xfId="30" builtinId="34"/>
    <cellStyle name="40% - Akcent 2" xfId="31" builtinId="35"/>
    <cellStyle name="60% - Akcent 2" xfId="32" builtinId="36"/>
    <cellStyle name="Akcent 3" xfId="33" builtinId="37"/>
    <cellStyle name="20% - Akcent 3" xfId="34" builtinId="38"/>
    <cellStyle name="40% - Akcent 3" xfId="35" builtinId="39"/>
    <cellStyle name="60% - Akcent 3" xfId="36" builtinId="40"/>
    <cellStyle name="Akcent 4" xfId="37" builtinId="41"/>
    <cellStyle name="20% - Akcent 4" xfId="38" builtinId="42"/>
    <cellStyle name="40% - Akcent 4" xfId="39" builtinId="43"/>
    <cellStyle name="60% - Akcent 4" xfId="40" builtinId="44"/>
    <cellStyle name="Akcent 5" xfId="41" builtinId="45"/>
    <cellStyle name="20% - Akcent 5" xfId="42" builtinId="46"/>
    <cellStyle name="40% - Akcent 5" xfId="43" builtinId="47"/>
    <cellStyle name="60% - Akcent 5" xfId="44" builtinId="48"/>
    <cellStyle name="Akcent 6" xfId="45" builtinId="49"/>
    <cellStyle name="20% - Akcent 6" xfId="46" builtinId="50"/>
    <cellStyle name="40% - Akcent 6" xfId="47" builtinId="51"/>
    <cellStyle name="60% - Akcent 6" xfId="48" builtinId="52"/>
    <cellStyle name="Comma 2" xfId="49"/>
    <cellStyle name="Comma 3" xfId="50"/>
    <cellStyle name="Normal 2" xfId="51"/>
    <cellStyle name="Normal 3" xfId="52"/>
    <cellStyle name="Normal 4" xfId="53"/>
    <cellStyle name="Normal 4 2" xfId="54"/>
    <cellStyle name="Normal 4 3" xfId="55"/>
  </cellStyles>
  <dxfs count="3">
    <dxf>
      <fill>
        <patternFill patternType="solid">
          <bgColor rgb="FFFF0000"/>
        </patternFill>
      </fill>
    </dxf>
    <dxf>
      <font>
        <color rgb="FFFF0000"/>
      </font>
      <fill>
        <patternFill patternType="none"/>
      </fill>
    </dxf>
    <dxf>
      <fill>
        <patternFill patternType="solid">
          <bgColor rgb="FFFF0000"/>
        </patternFill>
      </fill>
    </dxf>
  </dxfs>
  <tableStyles count="0" defaultTableStyle="TableStyleMedium2" defaultPivotStyle="PivotStyleLight16"/>
  <colors>
    <mruColors>
      <color rgb="00EAEAEA"/>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customXml" Target="../customXml/item1.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600" b="1" i="0" u="none" strike="noStrike" kern="1200" baseline="0">
                <a:solidFill>
                  <a:schemeClr val="tx1"/>
                </a:solidFill>
                <a:latin typeface="+mn-lt"/>
                <a:ea typeface="+mn-ea"/>
                <a:cs typeface="+mn-cs"/>
              </a:defRPr>
            </a:pPr>
            <a:r>
              <a:rPr lang="en-US" sz="1600" baseline="0"/>
              <a:t>Bode Plot</a:t>
            </a:r>
            <a:endParaRPr lang="en-US" sz="1600" baseline="0"/>
          </a:p>
        </c:rich>
      </c:tx>
      <c:layout>
        <c:manualLayout>
          <c:xMode val="edge"/>
          <c:yMode val="edge"/>
          <c:x val="0.0943541571749534"/>
          <c:y val="0.00399160104986877"/>
        </c:manualLayout>
      </c:layout>
      <c:overlay val="0"/>
    </c:title>
    <c:autoTitleDeleted val="0"/>
    <c:plotArea>
      <c:layout>
        <c:manualLayout>
          <c:layoutTarget val="inner"/>
          <c:xMode val="edge"/>
          <c:yMode val="edge"/>
          <c:x val="0.0905940527204998"/>
          <c:y val="0.0891581080136939"/>
          <c:w val="0.809658767428918"/>
          <c:h val="0.76159168715027"/>
        </c:manualLayout>
      </c:layout>
      <c:scatterChart>
        <c:scatterStyle val="smooth"/>
        <c:varyColors val="0"/>
        <c:ser>
          <c:idx val="0"/>
          <c:order val="0"/>
          <c:tx>
            <c:strRef>
              <c:f>"Gain (dB)"</c:f>
              <c:strCache>
                <c:ptCount val="1"/>
                <c:pt idx="0">
                  <c:v>Gain (dB)</c:v>
                </c:pt>
              </c:strCache>
            </c:strRef>
          </c:tx>
          <c:spPr>
            <a:ln w="28575"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53.0845415694369</c:v>
                </c:pt>
                <c:pt idx="1">
                  <c:v>52.8845212185626</c:v>
                </c:pt>
                <c:pt idx="2">
                  <c:v>52.6844999091908</c:v>
                </c:pt>
                <c:pt idx="3">
                  <c:v>52.4844775962079</c:v>
                </c:pt>
                <c:pt idx="4">
                  <c:v>52.2844542323795</c:v>
                </c:pt>
                <c:pt idx="5">
                  <c:v>52.0844297682515</c:v>
                </c:pt>
                <c:pt idx="6">
                  <c:v>51.884404152046</c:v>
                </c:pt>
                <c:pt idx="7">
                  <c:v>51.684377329552</c:v>
                </c:pt>
                <c:pt idx="8">
                  <c:v>51.4843492440122</c:v>
                </c:pt>
                <c:pt idx="9">
                  <c:v>51.2843198360031</c:v>
                </c:pt>
                <c:pt idx="10">
                  <c:v>51.0842890433108</c:v>
                </c:pt>
                <c:pt idx="11">
                  <c:v>50.8842568007998</c:v>
                </c:pt>
                <c:pt idx="12">
                  <c:v>50.684223040277</c:v>
                </c:pt>
                <c:pt idx="13">
                  <c:v>50.484187690348</c:v>
                </c:pt>
                <c:pt idx="14">
                  <c:v>50.2841506762684</c:v>
                </c:pt>
                <c:pt idx="15">
                  <c:v>50.0841119197867</c:v>
                </c:pt>
                <c:pt idx="16">
                  <c:v>49.8840713389803</c:v>
                </c:pt>
                <c:pt idx="17">
                  <c:v>49.6840288480845</c:v>
                </c:pt>
                <c:pt idx="18">
                  <c:v>49.4839843573136</c:v>
                </c:pt>
                <c:pt idx="19">
                  <c:v>49.2839377726724</c:v>
                </c:pt>
                <c:pt idx="20">
                  <c:v>49.083888995761</c:v>
                </c:pt>
                <c:pt idx="21">
                  <c:v>48.8838379235687</c:v>
                </c:pt>
                <c:pt idx="22">
                  <c:v>48.6837844482601</c:v>
                </c:pt>
                <c:pt idx="23">
                  <c:v>48.4837284569498</c:v>
                </c:pt>
                <c:pt idx="24">
                  <c:v>48.2836698314683</c:v>
                </c:pt>
                <c:pt idx="25">
                  <c:v>48.0836084481156</c:v>
                </c:pt>
                <c:pt idx="26">
                  <c:v>47.8835441774051</c:v>
                </c:pt>
                <c:pt idx="27">
                  <c:v>47.6834768837944</c:v>
                </c:pt>
                <c:pt idx="28">
                  <c:v>47.4834064254048</c:v>
                </c:pt>
                <c:pt idx="29">
                  <c:v>47.2833326537275</c:v>
                </c:pt>
                <c:pt idx="30">
                  <c:v>47.0832554133162</c:v>
                </c:pt>
                <c:pt idx="31">
                  <c:v>46.8831745414669</c:v>
                </c:pt>
                <c:pt idx="32">
                  <c:v>46.6830898678813</c:v>
                </c:pt>
                <c:pt idx="33">
                  <c:v>46.4830012143172</c:v>
                </c:pt>
                <c:pt idx="34">
                  <c:v>46.2829083942209</c:v>
                </c:pt>
                <c:pt idx="35">
                  <c:v>46.0828112123447</c:v>
                </c:pt>
                <c:pt idx="36">
                  <c:v>45.8827094643464</c:v>
                </c:pt>
                <c:pt idx="37">
                  <c:v>45.6826029363706</c:v>
                </c:pt>
                <c:pt idx="38">
                  <c:v>45.4824914046124</c:v>
                </c:pt>
                <c:pt idx="39">
                  <c:v>45.2823746348601</c:v>
                </c:pt>
                <c:pt idx="40">
                  <c:v>45.0822523820185</c:v>
                </c:pt>
                <c:pt idx="41">
                  <c:v>44.8821243896113</c:v>
                </c:pt>
                <c:pt idx="42">
                  <c:v>44.6819903892601</c:v>
                </c:pt>
                <c:pt idx="43">
                  <c:v>44.4818501001419</c:v>
                </c:pt>
                <c:pt idx="44">
                  <c:v>44.2817032284217</c:v>
                </c:pt>
                <c:pt idx="45">
                  <c:v>44.0815494666612</c:v>
                </c:pt>
                <c:pt idx="46">
                  <c:v>43.8813884932001</c:v>
                </c:pt>
                <c:pt idx="47">
                  <c:v>43.6812199715125</c:v>
                </c:pt>
                <c:pt idx="48">
                  <c:v>43.4810435495338</c:v>
                </c:pt>
                <c:pt idx="49">
                  <c:v>43.2808588589589</c:v>
                </c:pt>
                <c:pt idx="50">
                  <c:v>43.0806655145111</c:v>
                </c:pt>
                <c:pt idx="51">
                  <c:v>42.8804631131786</c:v>
                </c:pt>
                <c:pt idx="52">
                  <c:v>42.6802512334189</c:v>
                </c:pt>
                <c:pt idx="53">
                  <c:v>42.4800294343302</c:v>
                </c:pt>
                <c:pt idx="54">
                  <c:v>42.2797972547869</c:v>
                </c:pt>
                <c:pt idx="55">
                  <c:v>42.0795542125396</c:v>
                </c:pt>
                <c:pt idx="56">
                  <c:v>41.8792998032775</c:v>
                </c:pt>
                <c:pt idx="57">
                  <c:v>41.6790334996519</c:v>
                </c:pt>
                <c:pt idx="58">
                  <c:v>41.4787547502606</c:v>
                </c:pt>
                <c:pt idx="59">
                  <c:v>41.2784629785891</c:v>
                </c:pt>
                <c:pt idx="60">
                  <c:v>41.0781575819114</c:v>
                </c:pt>
                <c:pt idx="61">
                  <c:v>40.8778379301447</c:v>
                </c:pt>
                <c:pt idx="62">
                  <c:v>40.6775033646605</c:v>
                </c:pt>
                <c:pt idx="63">
                  <c:v>40.4771531970477</c:v>
                </c:pt>
                <c:pt idx="64">
                  <c:v>40.2767867078279</c:v>
                </c:pt>
                <c:pt idx="65">
                  <c:v>40.0764031451224</c:v>
                </c:pt>
                <c:pt idx="66">
                  <c:v>39.8760017232666</c:v>
                </c:pt>
                <c:pt idx="67">
                  <c:v>39.6755816213743</c:v>
                </c:pt>
                <c:pt idx="68">
                  <c:v>39.4751419818477</c:v>
                </c:pt>
                <c:pt idx="69">
                  <c:v>39.274681908834</c:v>
                </c:pt>
                <c:pt idx="70">
                  <c:v>39.0742004666253</c:v>
                </c:pt>
                <c:pt idx="71">
                  <c:v>38.8736966780031</c:v>
                </c:pt>
                <c:pt idx="72">
                  <c:v>38.6731695225254</c:v>
                </c:pt>
                <c:pt idx="73">
                  <c:v>38.4726179347546</c:v>
                </c:pt>
                <c:pt idx="74">
                  <c:v>38.2720408024276</c:v>
                </c:pt>
                <c:pt idx="75">
                  <c:v>38.0714369645653</c:v>
                </c:pt>
                <c:pt idx="76">
                  <c:v>37.8708052095229</c:v>
                </c:pt>
                <c:pt idx="77">
                  <c:v>37.67014427298</c:v>
                </c:pt>
                <c:pt idx="78">
                  <c:v>37.46945283587</c:v>
                </c:pt>
                <c:pt idx="79">
                  <c:v>37.2687295222501</c:v>
                </c:pt>
                <c:pt idx="80">
                  <c:v>37.0679728971118</c:v>
                </c:pt>
                <c:pt idx="81">
                  <c:v>36.8671814641321</c:v>
                </c:pt>
                <c:pt idx="82">
                  <c:v>36.6663536633685</c:v>
                </c:pt>
                <c:pt idx="83">
                  <c:v>36.4654878688965</c:v>
                </c:pt>
                <c:pt idx="84">
                  <c:v>36.2645823863942</c:v>
                </c:pt>
                <c:pt idx="85">
                  <c:v>36.0636354506747</c:v>
                </c:pt>
                <c:pt idx="86">
                  <c:v>35.8626452231699</c:v>
                </c:pt>
                <c:pt idx="87">
                  <c:v>35.6616097893683</c:v>
                </c:pt>
                <c:pt idx="88">
                  <c:v>35.4605271562128</c:v>
                </c:pt>
                <c:pt idx="89">
                  <c:v>35.2593952494604</c:v>
                </c:pt>
                <c:pt idx="90">
                  <c:v>35.0582119110126</c:v>
                </c:pt>
                <c:pt idx="91">
                  <c:v>34.8569748962189</c:v>
                </c:pt>
                <c:pt idx="92">
                  <c:v>34.6556818711639</c:v>
                </c:pt>
                <c:pt idx="93">
                  <c:v>34.4543304099445</c:v>
                </c:pt>
                <c:pt idx="94">
                  <c:v>34.2529179919462</c:v>
                </c:pt>
                <c:pt idx="95">
                  <c:v>34.0514419991289</c:v>
                </c:pt>
                <c:pt idx="96">
                  <c:v>33.8498997133341</c:v>
                </c:pt>
                <c:pt idx="97">
                  <c:v>33.6482883136246</c:v>
                </c:pt>
                <c:pt idx="98">
                  <c:v>33.4466048736727</c:v>
                </c:pt>
                <c:pt idx="99">
                  <c:v>33.2448463592101</c:v>
                </c:pt>
                <c:pt idx="100">
                  <c:v>33.0430096255588</c:v>
                </c:pt>
                <c:pt idx="101">
                  <c:v>32.8410914152586</c:v>
                </c:pt>
                <c:pt idx="102">
                  <c:v>32.6390883558146</c:v>
                </c:pt>
                <c:pt idx="103">
                  <c:v>32.4369969575847</c:v>
                </c:pt>
                <c:pt idx="104">
                  <c:v>32.2348136118319</c:v>
                </c:pt>
                <c:pt idx="105">
                  <c:v>32.032534588967</c:v>
                </c:pt>
                <c:pt idx="106">
                  <c:v>31.8301560370097</c:v>
                </c:pt>
                <c:pt idx="107">
                  <c:v>31.6276739802997</c:v>
                </c:pt>
                <c:pt idx="108">
                  <c:v>31.4250843184877</c:v>
                </c:pt>
                <c:pt idx="109">
                  <c:v>31.2223828258434</c:v>
                </c:pt>
                <c:pt idx="110">
                  <c:v>31.019565150916</c:v>
                </c:pt>
                <c:pt idx="111">
                  <c:v>30.8166268165867</c:v>
                </c:pt>
                <c:pt idx="112">
                  <c:v>30.6135632205559</c:v>
                </c:pt>
                <c:pt idx="113">
                  <c:v>30.4103696363078</c:v>
                </c:pt>
                <c:pt idx="114">
                  <c:v>30.2070412145991</c:v>
                </c:pt>
                <c:pt idx="115">
                  <c:v>30.0035729855199</c:v>
                </c:pt>
                <c:pt idx="116">
                  <c:v>29.7999598611786</c:v>
                </c:pt>
                <c:pt idx="117">
                  <c:v>29.5961966390605</c:v>
                </c:pt>
                <c:pt idx="118">
                  <c:v>29.3922780061168</c:v>
                </c:pt>
                <c:pt idx="119">
                  <c:v>29.1881985436378</c:v>
                </c:pt>
                <c:pt idx="120">
                  <c:v>28.9839527329674</c:v>
                </c:pt>
                <c:pt idx="121">
                  <c:v>28.7795349621157</c:v>
                </c:pt>
                <c:pt idx="122">
                  <c:v>28.5749395333287</c:v>
                </c:pt>
                <c:pt idx="123">
                  <c:v>28.3701606716699</c:v>
                </c:pt>
                <c:pt idx="124">
                  <c:v>28.1651925346723</c:v>
                </c:pt>
                <c:pt idx="125">
                  <c:v>27.9600292231163</c:v>
                </c:pt>
                <c:pt idx="126">
                  <c:v>27.7546647929827</c:v>
                </c:pt>
                <c:pt idx="127">
                  <c:v>27.5490932686348</c:v>
                </c:pt>
                <c:pt idx="128">
                  <c:v>27.3433086572721</c:v>
                </c:pt>
                <c:pt idx="129">
                  <c:v>27.1373049646971</c:v>
                </c:pt>
                <c:pt idx="130">
                  <c:v>26.9310762124288</c:v>
                </c:pt>
                <c:pt idx="131">
                  <c:v>26.7246164561914</c:v>
                </c:pt>
                <c:pt idx="132">
                  <c:v>26.517919805793</c:v>
                </c:pt>
                <c:pt idx="133">
                  <c:v>26.310980446407</c:v>
                </c:pt>
                <c:pt idx="134">
                  <c:v>26.1037926612483</c:v>
                </c:pt>
                <c:pt idx="135">
                  <c:v>25.8963508556312</c:v>
                </c:pt>
                <c:pt idx="136">
                  <c:v>25.6886495823782</c:v>
                </c:pt>
                <c:pt idx="137">
                  <c:v>25.4806835685313</c:v>
                </c:pt>
                <c:pt idx="138">
                  <c:v>25.2724477433059</c:v>
                </c:pt>
                <c:pt idx="139">
                  <c:v>25.0639372672024</c:v>
                </c:pt>
                <c:pt idx="140">
                  <c:v>24.8551475621753</c:v>
                </c:pt>
                <c:pt idx="141">
                  <c:v>24.6460743427369</c:v>
                </c:pt>
                <c:pt idx="142">
                  <c:v>24.4367136478492</c:v>
                </c:pt>
                <c:pt idx="143">
                  <c:v>24.2270618734393</c:v>
                </c:pt>
                <c:pt idx="144">
                  <c:v>24.0171158053452</c:v>
                </c:pt>
                <c:pt idx="145">
                  <c:v>23.8068726524784</c:v>
                </c:pt>
                <c:pt idx="146">
                  <c:v>23.5963300799657</c:v>
                </c:pt>
                <c:pt idx="147">
                  <c:v>23.3854862420095</c:v>
                </c:pt>
                <c:pt idx="148">
                  <c:v>23.1743398141841</c:v>
                </c:pt>
                <c:pt idx="149">
                  <c:v>22.9628900248657</c:v>
                </c:pt>
                <c:pt idx="150">
                  <c:v>22.7511366854732</c:v>
                </c:pt>
                <c:pt idx="151">
                  <c:v>22.5390802191842</c:v>
                </c:pt>
                <c:pt idx="152">
                  <c:v>22.326721687775</c:v>
                </c:pt>
                <c:pt idx="153">
                  <c:v>22.1140628162223</c:v>
                </c:pt>
                <c:pt idx="154">
                  <c:v>21.9011060147064</c:v>
                </c:pt>
                <c:pt idx="155">
                  <c:v>21.6878543976431</c:v>
                </c:pt>
                <c:pt idx="156">
                  <c:v>21.474311799388</c:v>
                </c:pt>
                <c:pt idx="157">
                  <c:v>21.2604827862567</c:v>
                </c:pt>
                <c:pt idx="158">
                  <c:v>21.0463726645254</c:v>
                </c:pt>
                <c:pt idx="159">
                  <c:v>20.8319874840973</c:v>
                </c:pt>
                <c:pt idx="160">
                  <c:v>20.6173340375438</c:v>
                </c:pt>
                <c:pt idx="161">
                  <c:v>20.4024198542688</c:v>
                </c:pt>
                <c:pt idx="162">
                  <c:v>20.1872531895798</c:v>
                </c:pt>
                <c:pt idx="163">
                  <c:v>19.971843008495</c:v>
                </c:pt>
                <c:pt idx="164">
                  <c:v>19.7561989641703</c:v>
                </c:pt>
                <c:pt idx="165">
                  <c:v>19.5403313708785</c:v>
                </c:pt>
                <c:pt idx="166">
                  <c:v>19.3242511715375</c:v>
                </c:pt>
                <c:pt idx="167">
                  <c:v>19.1079698998446</c:v>
                </c:pt>
                <c:pt idx="168">
                  <c:v>18.8914996371371</c:v>
                </c:pt>
                <c:pt idx="169">
                  <c:v>18.6748529641668</c:v>
                </c:pt>
                <c:pt idx="170">
                  <c:v>18.4580429080366</c:v>
                </c:pt>
                <c:pt idx="171">
                  <c:v>18.2410828846175</c:v>
                </c:pt>
                <c:pt idx="172">
                  <c:v>18.0239866368171</c:v>
                </c:pt>
                <c:pt idx="173">
                  <c:v>17.8067681691342</c:v>
                </c:pt>
                <c:pt idx="174">
                  <c:v>17.5894416789803</c:v>
                </c:pt>
                <c:pt idx="175">
                  <c:v>17.3720214852982</c:v>
                </c:pt>
                <c:pt idx="176">
                  <c:v>17.154521955043</c:v>
                </c:pt>
                <c:pt idx="177">
                  <c:v>16.9369574281218</c:v>
                </c:pt>
                <c:pt idx="178">
                  <c:v>16.71934214141</c:v>
                </c:pt>
                <c:pt idx="179">
                  <c:v>16.5016901524734</c:v>
                </c:pt>
                <c:pt idx="180">
                  <c:v>16.2840152636273</c:v>
                </c:pt>
                <c:pt idx="181">
                  <c:v>16.0663309469576</c:v>
                </c:pt>
                <c:pt idx="182">
                  <c:v>15.8486502709129</c:v>
                </c:pt>
                <c:pt idx="183">
                  <c:v>15.630985829048</c:v>
                </c:pt>
                <c:pt idx="184">
                  <c:v>15.41334967147</c:v>
                </c:pt>
                <c:pt idx="185">
                  <c:v>15.1957532394936</c:v>
                </c:pt>
                <c:pt idx="186">
                  <c:v>14.9782073039637</c:v>
                </c:pt>
                <c:pt idx="187">
                  <c:v>14.7607219076541</c:v>
                </c:pt>
                <c:pt idx="188">
                  <c:v>14.5433063120864</c:v>
                </c:pt>
                <c:pt idx="189">
                  <c:v>14.3259689490578</c:v>
                </c:pt>
                <c:pt idx="190">
                  <c:v>14.1087173771013</c:v>
                </c:pt>
                <c:pt idx="191">
                  <c:v>13.8915582430356</c:v>
                </c:pt>
                <c:pt idx="192">
                  <c:v>13.6744972487034</c:v>
                </c:pt>
                <c:pt idx="193">
                  <c:v>13.4575391229311</c:v>
                </c:pt>
                <c:pt idx="194">
                  <c:v>13.2406875986868</c:v>
                </c:pt>
                <c:pt idx="195">
                  <c:v>13.0239453953558</c:v>
                </c:pt>
                <c:pt idx="196">
                  <c:v>12.8073142060063</c:v>
                </c:pt>
                <c:pt idx="197">
                  <c:v>12.5907946894668</c:v>
                </c:pt>
                <c:pt idx="198">
                  <c:v>12.3743864670027</c:v>
                </c:pt>
                <c:pt idx="199">
                  <c:v>12.1580881233419</c:v>
                </c:pt>
                <c:pt idx="200">
                  <c:v>11.9418972117744</c:v>
                </c:pt>
                <c:pt idx="201">
                  <c:v>11.7258102630265</c:v>
                </c:pt>
                <c:pt idx="202">
                  <c:v>11.5098227975992</c:v>
                </c:pt>
                <c:pt idx="203">
                  <c:v>11.2939293412505</c:v>
                </c:pt>
                <c:pt idx="204">
                  <c:v>11.0781234432944</c:v>
                </c:pt>
                <c:pt idx="205">
                  <c:v>10.8623976973993</c:v>
                </c:pt>
                <c:pt idx="206">
                  <c:v>10.6467437645685</c:v>
                </c:pt>
                <c:pt idx="207">
                  <c:v>10.4311523980041</c:v>
                </c:pt>
                <c:pt idx="208">
                  <c:v>10.2156134695671</c:v>
                </c:pt>
                <c:pt idx="209">
                  <c:v>10.0001159975673</c:v>
                </c:pt>
                <c:pt idx="210">
                  <c:v>9.78464817564104</c:v>
                </c:pt>
                <c:pt idx="211">
                  <c:v>9.56919740249709</c:v>
                </c:pt>
                <c:pt idx="212">
                  <c:v>9.35375031233978</c:v>
                </c:pt>
                <c:pt idx="213">
                  <c:v>9.13829280580436</c:v>
                </c:pt>
                <c:pt idx="214">
                  <c:v>8.92281008127177</c:v>
                </c:pt>
                <c:pt idx="215">
                  <c:v>8.70728666645496</c:v>
                </c:pt>
                <c:pt idx="216">
                  <c:v>8.49170645018377</c:v>
                </c:pt>
                <c:pt idx="217">
                  <c:v>8.27605271433807</c:v>
                </c:pt>
                <c:pt idx="218">
                  <c:v>8.06030816591349</c:v>
                </c:pt>
                <c:pt idx="219">
                  <c:v>7.8444549692267</c:v>
                </c:pt>
                <c:pt idx="220">
                  <c:v>7.62847477829564</c:v>
                </c:pt>
                <c:pt idx="221">
                  <c:v>7.41234876945366</c:v>
                </c:pt>
                <c:pt idx="222">
                  <c:v>7.19605767428136</c:v>
                </c:pt>
                <c:pt idx="223">
                  <c:v>6.97958181295773</c:v>
                </c:pt>
                <c:pt idx="224">
                  <c:v>6.76290112815492</c:v>
                </c:pt>
                <c:pt idx="225">
                  <c:v>6.54599521961496</c:v>
                </c:pt>
                <c:pt idx="226">
                  <c:v>6.32884337956377</c:v>
                </c:pt>
                <c:pt idx="227">
                  <c:v>6.11142462912784</c:v>
                </c:pt>
                <c:pt idx="228">
                  <c:v>5.89371775593099</c:v>
                </c:pt>
                <c:pt idx="229">
                  <c:v>5.67570135305331</c:v>
                </c:pt>
                <c:pt idx="230">
                  <c:v>5.45735385954117</c:v>
                </c:pt>
                <c:pt idx="231">
                  <c:v>5.23865360265725</c:v>
                </c:pt>
                <c:pt idx="232">
                  <c:v>5.01957884205648</c:v>
                </c:pt>
                <c:pt idx="233">
                  <c:v>4.80010781607484</c:v>
                </c:pt>
                <c:pt idx="234">
                  <c:v>4.58021879030226</c:v>
                </c:pt>
                <c:pt idx="235">
                  <c:v>4.35989010860682</c:v>
                </c:pt>
                <c:pt idx="236">
                  <c:v>4.13910024675812</c:v>
                </c:pt>
                <c:pt idx="237">
                  <c:v>3.9178278687833</c:v>
                </c:pt>
                <c:pt idx="238">
                  <c:v>3.69605188616383</c:v>
                </c:pt>
                <c:pt idx="239">
                  <c:v>3.47375151995953</c:v>
                </c:pt>
                <c:pt idx="240">
                  <c:v>3.25090636591398</c:v>
                </c:pt>
                <c:pt idx="241">
                  <c:v>3.02749646256633</c:v>
                </c:pt>
                <c:pt idx="242">
                  <c:v>2.80350236235403</c:v>
                </c:pt>
                <c:pt idx="243">
                  <c:v>2.57890520565476</c:v>
                </c:pt>
                <c:pt idx="244">
                  <c:v>2.35368679767025</c:v>
                </c:pt>
                <c:pt idx="245">
                  <c:v>2.12782968800907</c:v>
                </c:pt>
                <c:pt idx="246">
                  <c:v>1.90131725277483</c:v>
                </c:pt>
                <c:pt idx="247">
                  <c:v>1.67413377891574</c:v>
                </c:pt>
                <c:pt idx="248">
                  <c:v>1.44626455053557</c:v>
                </c:pt>
                <c:pt idx="249">
                  <c:v>1.21769593681044</c:v>
                </c:pt>
                <c:pt idx="250">
                  <c:v>0.988415481099161</c:v>
                </c:pt>
                <c:pt idx="251">
                  <c:v>0.758411990777652</c:v>
                </c:pt>
                <c:pt idx="252">
                  <c:v>0.527675627269438</c:v>
                </c:pt>
                <c:pt idx="253">
                  <c:v>0.296197995690329</c:v>
                </c:pt>
                <c:pt idx="254">
                  <c:v>0.0639722334710772</c:v>
                </c:pt>
                <c:pt idx="255">
                  <c:v>-0.169006902728458</c:v>
                </c:pt>
                <c:pt idx="256">
                  <c:v>-0.402742952545745</c:v>
                </c:pt>
                <c:pt idx="257">
                  <c:v>-0.637237670656489</c:v>
                </c:pt>
                <c:pt idx="258">
                  <c:v>-0.872490949534345</c:v>
                </c:pt>
                <c:pt idx="259">
                  <c:v>-1.10850074706594</c:v>
                </c:pt>
                <c:pt idx="260">
                  <c:v>-1.34526301986903</c:v>
                </c:pt>
                <c:pt idx="261">
                  <c:v>-1.58277166317496</c:v>
                </c:pt>
                <c:pt idx="262">
                  <c:v>-1.82101845813036</c:v>
                </c:pt>
                <c:pt idx="263">
                  <c:v>-2.05999302736103</c:v>
                </c:pt>
                <c:pt idx="264">
                  <c:v>-2.29968279961359</c:v>
                </c:pt>
                <c:pt idx="265">
                  <c:v>-2.54007298425323</c:v>
                </c:pt>
                <c:pt idx="266">
                  <c:v>-2.78114655634177</c:v>
                </c:pt>
                <c:pt idx="267">
                  <c:v>-3.02288425295945</c:v>
                </c:pt>
                <c:pt idx="268">
                  <c:v>-3.26526458135246</c:v>
                </c:pt>
                <c:pt idx="269">
                  <c:v>-3.50826383940265</c:v>
                </c:pt>
                <c:pt idx="270">
                  <c:v>-3.75185614881167</c:v>
                </c:pt>
                <c:pt idx="271">
                  <c:v>-3.99601350128205</c:v>
                </c:pt>
                <c:pt idx="272">
                  <c:v>-4.24070581785598</c:v>
                </c:pt>
                <c:pt idx="273">
                  <c:v>-4.48590102144301</c:v>
                </c:pt>
                <c:pt idx="274">
                  <c:v>-4.73156512243423</c:v>
                </c:pt>
                <c:pt idx="275">
                  <c:v>-4.97766231715993</c:v>
                </c:pt>
                <c:pt idx="276">
                  <c:v>-5.22415509880563</c:v>
                </c:pt>
                <c:pt idx="277">
                  <c:v>-5.47100438026229</c:v>
                </c:pt>
                <c:pt idx="278">
                  <c:v>-5.71816962824482</c:v>
                </c:pt>
                <c:pt idx="279">
                  <c:v>-5.96560900787931</c:v>
                </c:pt>
                <c:pt idx="280">
                  <c:v>-6.21327953683328</c:v>
                </c:pt>
                <c:pt idx="281">
                  <c:v>-6.46113724794209</c:v>
                </c:pt>
                <c:pt idx="282">
                  <c:v>-6.70913735918207</c:v>
                </c:pt>
                <c:pt idx="283">
                  <c:v>-6.95723444974185</c:v>
                </c:pt>
                <c:pt idx="284">
                  <c:v>-7.20538264087023</c:v>
                </c:pt>
                <c:pt idx="285">
                  <c:v>-7.45353578011467</c:v>
                </c:pt>
                <c:pt idx="286">
                  <c:v>-7.70164762751829</c:v>
                </c:pt>
                <c:pt idx="287">
                  <c:v>-7.94967204232157</c:v>
                </c:pt>
                <c:pt idx="288">
                  <c:v>-8.19756316870533</c:v>
                </c:pt>
                <c:pt idx="289">
                  <c:v>-8.44527561912541</c:v>
                </c:pt>
                <c:pt idx="290">
                  <c:v>-8.6927646538196</c:v>
                </c:pt>
                <c:pt idx="291">
                  <c:v>-8.93998635511942</c:v>
                </c:pt>
                <c:pt idx="292">
                  <c:v>-9.18689779526388</c:v>
                </c:pt>
                <c:pt idx="293">
                  <c:v>-9.43345719649828</c:v>
                </c:pt>
                <c:pt idx="294">
                  <c:v>-9.67962408233642</c:v>
                </c:pt>
                <c:pt idx="295">
                  <c:v>-9.92535941897774</c:v>
                </c:pt>
                <c:pt idx="296">
                  <c:v>-10.1706257459914</c:v>
                </c:pt>
                <c:pt idx="297">
                  <c:v>-10.4153872955083</c:v>
                </c:pt>
                <c:pt idx="298">
                  <c:v>-10.6596100993017</c:v>
                </c:pt>
                <c:pt idx="299">
                  <c:v>-10.9032620832743</c:v>
                </c:pt>
                <c:pt idx="300">
                  <c:v>-11.1463131490144</c:v>
                </c:pt>
                <c:pt idx="301">
                  <c:v>-11.3887352422236</c:v>
                </c:pt>
                <c:pt idx="302">
                  <c:v>-11.6305024079591</c:v>
                </c:pt>
                <c:pt idx="303">
                  <c:v>-11.8715908327687</c:v>
                </c:pt>
                <c:pt idx="304">
                  <c:v>-12.111978873919</c:v>
                </c:pt>
                <c:pt idx="305">
                  <c:v>-12.3516470760448</c:v>
                </c:pt>
                <c:pt idx="306">
                  <c:v>-12.5905781756495</c:v>
                </c:pt>
                <c:pt idx="307">
                  <c:v>-12.8287570939911</c:v>
                </c:pt>
                <c:pt idx="308">
                  <c:v>-13.0661709189713</c:v>
                </c:pt>
                <c:pt idx="309">
                  <c:v>-13.3028088767212</c:v>
                </c:pt>
                <c:pt idx="310">
                  <c:v>-13.5386622936415</c:v>
                </c:pt>
                <c:pt idx="311">
                  <c:v>-13.7737245496988</c:v>
                </c:pt>
                <c:pt idx="312">
                  <c:v>-14.007991023822</c:v>
                </c:pt>
                <c:pt idx="313">
                  <c:v>-14.2414590322621</c:v>
                </c:pt>
                <c:pt idx="314">
                  <c:v>-14.4741277607942</c:v>
                </c:pt>
                <c:pt idx="315">
                  <c:v>-14.7059981916388</c:v>
                </c:pt>
                <c:pt idx="316">
                  <c:v>-14.9370730259726</c:v>
                </c:pt>
                <c:pt idx="317">
                  <c:v>-15.1673566028798</c:v>
                </c:pt>
                <c:pt idx="318">
                  <c:v>-15.3968548155661</c:v>
                </c:pt>
                <c:pt idx="319">
                  <c:v>-15.6255750256288</c:v>
                </c:pt>
                <c:pt idx="320">
                  <c:v>-15.8535259761283</c:v>
                </c:pt>
                <c:pt idx="321">
                  <c:v>-16.0807177041706</c:v>
                </c:pt>
                <c:pt idx="322">
                  <c:v>-16.3071614536524</c:v>
                </c:pt>
                <c:pt idx="323">
                  <c:v>-16.5328695887759</c:v>
                </c:pt>
                <c:pt idx="324">
                  <c:v>-16.7578555088808</c:v>
                </c:pt>
                <c:pt idx="325">
                  <c:v>-16.982133565092</c:v>
                </c:pt>
                <c:pt idx="326">
                  <c:v>-17.2057189792201</c:v>
                </c:pt>
                <c:pt idx="327">
                  <c:v>-17.4286277653034</c:v>
                </c:pt>
                <c:pt idx="328">
                  <c:v>-17.6508766541241</c:v>
                </c:pt>
                <c:pt idx="329">
                  <c:v>-17.8724830209793</c:v>
                </c:pt>
                <c:pt idx="330">
                  <c:v>-18.093464816942</c:v>
                </c:pt>
                <c:pt idx="331">
                  <c:v>-18.3138405037967</c:v>
                </c:pt>
                <c:pt idx="332">
                  <c:v>-18.5336289927937</c:v>
                </c:pt>
                <c:pt idx="333">
                  <c:v>-18.7528495873247</c:v>
                </c:pt>
                <c:pt idx="334">
                  <c:v>-18.9715219295867</c:v>
                </c:pt>
                <c:pt idx="335">
                  <c:v>-19.1896659512642</c:v>
                </c:pt>
                <c:pt idx="336">
                  <c:v>-19.407301828234</c:v>
                </c:pt>
                <c:pt idx="337">
                  <c:v>-19.6244499392663</c:v>
                </c:pt>
                <c:pt idx="338">
                  <c:v>-19.8411308286741</c:v>
                </c:pt>
                <c:pt idx="339">
                  <c:v>-20.0573651728413</c:v>
                </c:pt>
                <c:pt idx="340">
                  <c:v>-20.2731737505421</c:v>
                </c:pt>
                <c:pt idx="341">
                  <c:v>-20.4885774169514</c:v>
                </c:pt>
                <c:pt idx="342">
                  <c:v>-20.7035970812318</c:v>
                </c:pt>
                <c:pt idx="343">
                  <c:v>-20.918253687572</c:v>
                </c:pt>
                <c:pt idx="344">
                  <c:v>-21.1325681995483</c:v>
                </c:pt>
                <c:pt idx="345">
                  <c:v>-21.3465615876707</c:v>
                </c:pt>
                <c:pt idx="346">
                  <c:v>-21.560254819973</c:v>
                </c:pt>
                <c:pt idx="347">
                  <c:v>-21.7736688555054</c:v>
                </c:pt>
                <c:pt idx="348">
                  <c:v>-21.9868246405859</c:v>
                </c:pt>
                <c:pt idx="349">
                  <c:v>-22.1997431076667</c:v>
                </c:pt>
                <c:pt idx="350">
                  <c:v>-22.4124451766764</c:v>
                </c:pt>
                <c:pt idx="351">
                  <c:v>-22.6249517586961</c:v>
                </c:pt>
                <c:pt idx="352">
                  <c:v>-22.8372837618365</c:v>
                </c:pt>
                <c:pt idx="353">
                  <c:v>-23.0494620991797</c:v>
                </c:pt>
                <c:pt idx="354">
                  <c:v>-23.2615076986615</c:v>
                </c:pt>
                <c:pt idx="355">
                  <c:v>-23.4734415147665</c:v>
                </c:pt>
                <c:pt idx="356">
                  <c:v>-23.6852845419179</c:v>
                </c:pt>
                <c:pt idx="357">
                  <c:v>-23.8970578294459</c:v>
                </c:pt>
                <c:pt idx="358">
                  <c:v>-24.1087824980241</c:v>
                </c:pt>
                <c:pt idx="359">
                  <c:v>-24.3204797574663</c:v>
                </c:pt>
                <c:pt idx="360">
                  <c:v>-24.5321709257831</c:v>
                </c:pt>
                <c:pt idx="361">
                  <c:v>-24.7438774493976</c:v>
                </c:pt>
                <c:pt idx="362">
                  <c:v>-24.9556209244253</c:v>
                </c:pt>
                <c:pt idx="363">
                  <c:v>-25.1674231189285</c:v>
                </c:pt>
                <c:pt idx="364">
                  <c:v>-25.3793059960514</c:v>
                </c:pt>
                <c:pt idx="365">
                  <c:v>-25.5912917379544</c:v>
                </c:pt>
                <c:pt idx="366">
                  <c:v>-25.8034027704579</c:v>
                </c:pt>
                <c:pt idx="367">
                  <c:v>-26.0156617883143</c:v>
                </c:pt>
                <c:pt idx="368">
                  <c:v>-26.2280917810241</c:v>
                </c:pt>
                <c:pt idx="369">
                  <c:v>-26.4407160591131</c:v>
                </c:pt>
                <c:pt idx="370">
                  <c:v>-26.6535582807883</c:v>
                </c:pt>
                <c:pt idx="371">
                  <c:v>-26.8666424788869</c:v>
                </c:pt>
                <c:pt idx="372">
                  <c:v>-27.0799930880332</c:v>
                </c:pt>
                <c:pt idx="373">
                  <c:v>-27.2936349719154</c:v>
                </c:pt>
                <c:pt idx="374">
                  <c:v>-27.5075934505919</c:v>
                </c:pt>
                <c:pt idx="375">
                  <c:v>-27.7218943277317</c:v>
                </c:pt>
                <c:pt idx="376">
                  <c:v>-27.9365639176922</c:v>
                </c:pt>
                <c:pt idx="377">
                  <c:v>-28.1516290723309</c:v>
                </c:pt>
                <c:pt idx="378">
                  <c:v>-28.3671172074446</c:v>
                </c:pt>
                <c:pt idx="379">
                  <c:v>-28.5830563287219</c:v>
                </c:pt>
                <c:pt idx="380">
                  <c:v>-28.79947505709</c:v>
                </c:pt>
                <c:pt idx="381">
                  <c:v>-29.0164026533318</c:v>
                </c:pt>
                <c:pt idx="382">
                  <c:v>-29.2338690418391</c:v>
                </c:pt>
                <c:pt idx="383">
                  <c:v>-29.451904833363</c:v>
                </c:pt>
                <c:pt idx="384">
                  <c:v>-29.6705413466156</c:v>
                </c:pt>
                <c:pt idx="385">
                  <c:v>-29.8898106285677</c:v>
                </c:pt>
                <c:pt idx="386">
                  <c:v>-30.1097454732795</c:v>
                </c:pt>
                <c:pt idx="387">
                  <c:v>-30.3303794390956</c:v>
                </c:pt>
                <c:pt idx="388">
                  <c:v>-30.5517468640272</c:v>
                </c:pt>
                <c:pt idx="389">
                  <c:v>-30.7738828791352</c:v>
                </c:pt>
                <c:pt idx="390">
                  <c:v>-30.996823419723</c:v>
                </c:pt>
                <c:pt idx="391">
                  <c:v>-31.2206052341409</c:v>
                </c:pt>
                <c:pt idx="392">
                  <c:v>-31.445265889998</c:v>
                </c:pt>
                <c:pt idx="393">
                  <c:v>-31.670843777572</c:v>
                </c:pt>
                <c:pt idx="394">
                  <c:v>-31.897378110204</c:v>
                </c:pt>
                <c:pt idx="395">
                  <c:v>-32.1249089214627</c:v>
                </c:pt>
                <c:pt idx="396">
                  <c:v>-32.3534770588614</c:v>
                </c:pt>
                <c:pt idx="397">
                  <c:v>-32.5831241739089</c:v>
                </c:pt>
                <c:pt idx="398">
                  <c:v>-32.813892708283</c:v>
                </c:pt>
                <c:pt idx="399">
                  <c:v>-33.0458258759127</c:v>
                </c:pt>
                <c:pt idx="400">
                  <c:v>-33.2789676407675</c:v>
                </c:pt>
                <c:pt idx="401">
                  <c:v>-33.513362690158</c:v>
                </c:pt>
                <c:pt idx="402">
                  <c:v>-33.7490564033629</c:v>
                </c:pt>
                <c:pt idx="403">
                  <c:v>-33.9860948154159</c:v>
                </c:pt>
                <c:pt idx="404">
                  <c:v>-34.2245245758978</c:v>
                </c:pt>
                <c:pt idx="405">
                  <c:v>-34.4643929026043</c:v>
                </c:pt>
                <c:pt idx="406">
                  <c:v>-34.7057475299805</c:v>
                </c:pt>
                <c:pt idx="407">
                  <c:v>-34.9486366522424</c:v>
                </c:pt>
                <c:pt idx="408">
                  <c:v>-35.1931088611333</c:v>
                </c:pt>
                <c:pt idx="409">
                  <c:v>-35.4392130782971</c:v>
                </c:pt>
                <c:pt idx="410">
                  <c:v>-35.6869984822904</c:v>
                </c:pt>
                <c:pt idx="411">
                  <c:v>-35.9365144302861</c:v>
                </c:pt>
                <c:pt idx="412">
                  <c:v>-36.1878103745736</c:v>
                </c:pt>
                <c:pt idx="413">
                  <c:v>-36.4409357739949</c:v>
                </c:pt>
                <c:pt idx="414">
                  <c:v>-36.6959400005104</c:v>
                </c:pt>
                <c:pt idx="415">
                  <c:v>-36.9528722411281</c:v>
                </c:pt>
                <c:pt idx="416">
                  <c:v>-37.2117813954861</c:v>
                </c:pt>
                <c:pt idx="417">
                  <c:v>-37.4727159694175</c:v>
                </c:pt>
                <c:pt idx="418">
                  <c:v>-37.7357239648852</c:v>
                </c:pt>
                <c:pt idx="419">
                  <c:v>-38.0008527667121</c:v>
                </c:pt>
                <c:pt idx="420">
                  <c:v>-38.268149026584</c:v>
                </c:pt>
                <c:pt idx="421">
                  <c:v>-38.5376585448385</c:v>
                </c:pt>
                <c:pt idx="422">
                  <c:v>-38.8094261505999</c:v>
                </c:pt>
                <c:pt idx="423">
                  <c:v>-39.083495580843</c:v>
                </c:pt>
                <c:pt idx="424">
                  <c:v>-39.359909359011</c:v>
                </c:pt>
                <c:pt idx="425">
                  <c:v>-39.6387086738241</c:v>
                </c:pt>
                <c:pt idx="426">
                  <c:v>-39.9199332589376</c:v>
                </c:pt>
                <c:pt idx="427">
                  <c:v>-40.2036212741198</c:v>
                </c:pt>
                <c:pt idx="428">
                  <c:v>-40.4898091886121</c:v>
                </c:pt>
                <c:pt idx="429">
                  <c:v>-40.7785316673391</c:v>
                </c:pt>
                <c:pt idx="430">
                  <c:v>-41.0698214606126</c:v>
                </c:pt>
                <c:pt idx="431">
                  <c:v>-41.363709297955</c:v>
                </c:pt>
                <c:pt idx="432">
                  <c:v>-41.6602237866355</c:v>
                </c:pt>
                <c:pt idx="433">
                  <c:v>-41.9593913154743</c:v>
                </c:pt>
                <c:pt idx="434">
                  <c:v>-42.2612359644246</c:v>
                </c:pt>
                <c:pt idx="435">
                  <c:v>-42.5657794203878</c:v>
                </c:pt>
                <c:pt idx="436">
                  <c:v>-42.8730408996652</c:v>
                </c:pt>
                <c:pt idx="437">
                  <c:v>-43.1830370773825</c:v>
                </c:pt>
                <c:pt idx="438">
                  <c:v>-43.4957820241589</c:v>
                </c:pt>
                <c:pt idx="439">
                  <c:v>-43.8112871502309</c:v>
                </c:pt>
                <c:pt idx="440">
                  <c:v>-44.1295611571653</c:v>
                </c:pt>
                <c:pt idx="441">
                  <c:v>-44.4506099972368</c:v>
                </c:pt>
                <c:pt idx="442">
                  <c:v>-44.774436840477</c:v>
                </c:pt>
                <c:pt idx="443">
                  <c:v>-45.1010420493414</c:v>
                </c:pt>
                <c:pt idx="444">
                  <c:v>-45.4304231608869</c:v>
                </c:pt>
                <c:pt idx="445">
                  <c:v>-45.7625748763033</c:v>
                </c:pt>
                <c:pt idx="446">
                  <c:v>-46.0974890575956</c:v>
                </c:pt>
                <c:pt idx="447">
                  <c:v>-46.4351547311865</c:v>
                </c:pt>
                <c:pt idx="448">
                  <c:v>-46.7755580981759</c:v>
                </c:pt>
                <c:pt idx="449">
                  <c:v>-47.1186825509837</c:v>
                </c:pt>
                <c:pt idx="450">
                  <c:v>-47.4645086960894</c:v>
                </c:pt>
                <c:pt idx="451">
                  <c:v>-47.8130143825882</c:v>
                </c:pt>
                <c:pt idx="452">
                  <c:v>-48.1641747362892</c:v>
                </c:pt>
                <c:pt idx="453">
                  <c:v>-48.5179621991036</c:v>
                </c:pt>
                <c:pt idx="454">
                  <c:v>-48.8743465734932</c:v>
                </c:pt>
                <c:pt idx="455">
                  <c:v>-49.2332950717797</c:v>
                </c:pt>
                <c:pt idx="456">
                  <c:v>-49.5947723701553</c:v>
                </c:pt>
                <c:pt idx="457">
                  <c:v>-49.9587406672714</c:v>
                </c:pt>
                <c:pt idx="458">
                  <c:v>-50.3251597473191</c:v>
                </c:pt>
                <c:pt idx="459">
                  <c:v>-50.6939870475653</c:v>
                </c:pt>
                <c:pt idx="460">
                  <c:v>-51.0651777303349</c:v>
                </c:pt>
                <c:pt idx="461">
                  <c:v>-51.4386847594759</c:v>
                </c:pt>
                <c:pt idx="462">
                  <c:v>-51.8144589813647</c:v>
                </c:pt>
                <c:pt idx="463">
                  <c:v>-52.1924492105403</c:v>
                </c:pt>
                <c:pt idx="464">
                  <c:v>-52.5726023200666</c:v>
                </c:pt>
                <c:pt idx="465">
                  <c:v>-52.9548633367311</c:v>
                </c:pt>
                <c:pt idx="466">
                  <c:v>-53.3391755411845</c:v>
                </c:pt>
                <c:pt idx="467">
                  <c:v>-53.7254805731138</c:v>
                </c:pt>
                <c:pt idx="468">
                  <c:v>-54.1137185415122</c:v>
                </c:pt>
                <c:pt idx="469">
                  <c:v>-54.5038281400845</c:v>
                </c:pt>
                <c:pt idx="470">
                  <c:v>-54.8957467677679</c:v>
                </c:pt>
                <c:pt idx="471">
                  <c:v>-55.2894106543072</c:v>
                </c:pt>
                <c:pt idx="472">
                  <c:v>-55.6847549907495</c:v>
                </c:pt>
                <c:pt idx="473">
                  <c:v>-56.08171406466</c:v>
                </c:pt>
                <c:pt idx="474">
                  <c:v>-56.4802213997798</c:v>
                </c:pt>
                <c:pt idx="475">
                  <c:v>-56.8802098997701</c:v>
                </c:pt>
                <c:pt idx="476">
                  <c:v>-57.2816119956013</c:v>
                </c:pt>
                <c:pt idx="477">
                  <c:v>-57.6843597960669</c:v>
                </c:pt>
                <c:pt idx="478">
                  <c:v>-58.0883852408183</c:v>
                </c:pt>
                <c:pt idx="479">
                  <c:v>-58.4936202552463</c:v>
                </c:pt>
                <c:pt idx="480">
                  <c:v>-58.8999969064578</c:v>
                </c:pt>
                <c:pt idx="481">
                  <c:v>-59.3074475595438</c:v>
                </c:pt>
                <c:pt idx="482">
                  <c:v>-59.7159050332758</c:v>
                </c:pt>
                <c:pt idx="483">
                  <c:v>-60.1253027543357</c:v>
                </c:pt>
                <c:pt idx="484">
                  <c:v>-60.5355749091477</c:v>
                </c:pt>
                <c:pt idx="485">
                  <c:v>-60.9466565923798</c:v>
                </c:pt>
                <c:pt idx="486">
                  <c:v>-61.358483951171</c:v>
                </c:pt>
                <c:pt idx="487">
                  <c:v>-61.7709943241671</c:v>
                </c:pt>
                <c:pt idx="488">
                  <c:v>-62.1841263744684</c:v>
                </c:pt>
                <c:pt idx="489">
                  <c:v>-62.5978202156467</c:v>
                </c:pt>
                <c:pt idx="490">
                  <c:v>-63.0120175300354</c:v>
                </c:pt>
                <c:pt idx="491">
                  <c:v>-63.426661678576</c:v>
                </c:pt>
                <c:pt idx="492">
                  <c:v>-63.841697801577</c:v>
                </c:pt>
                <c:pt idx="493">
                  <c:v>-64.2570729098345</c:v>
                </c:pt>
                <c:pt idx="494">
                  <c:v>-64.6727359656581</c:v>
                </c:pt>
                <c:pt idx="495">
                  <c:v>-65.0886379534483</c:v>
                </c:pt>
                <c:pt idx="496">
                  <c:v>-65.5047319395789</c:v>
                </c:pt>
                <c:pt idx="497">
                  <c:v>-65.9209731214386</c:v>
                </c:pt>
                <c:pt idx="498">
                  <c:v>-66.3373188656026</c:v>
                </c:pt>
                <c:pt idx="499">
                  <c:v>-66.7537287351967</c:v>
                </c:pt>
                <c:pt idx="500">
                  <c:v>-67.1701645066286</c:v>
                </c:pt>
                <c:pt idx="501">
                  <c:v>-67.5865901759454</c:v>
                </c:pt>
                <c:pt idx="502">
                  <c:v>-68.0029719551715</c:v>
                </c:pt>
                <c:pt idx="503">
                  <c:v>-68.4192782590536</c:v>
                </c:pt>
                <c:pt idx="504">
                  <c:v>-68.8354796827184</c:v>
                </c:pt>
                <c:pt idx="505">
                  <c:v>-69.2515489707986</c:v>
                </c:pt>
                <c:pt idx="506">
                  <c:v>-69.6674609786443</c:v>
                </c:pt>
                <c:pt idx="507">
                  <c:v>-70.083192626268</c:v>
                </c:pt>
                <c:pt idx="508">
                  <c:v>-70.4987228457082</c:v>
                </c:pt>
                <c:pt idx="509">
                  <c:v>-70.9140325225123</c:v>
                </c:pt>
                <c:pt idx="510">
                  <c:v>-71.329104432051</c:v>
                </c:pt>
                <c:pt idx="511">
                  <c:v>-71.7439231713781</c:v>
                </c:pt>
                <c:pt idx="512">
                  <c:v>-72.1584750873411</c:v>
                </c:pt>
                <c:pt idx="513">
                  <c:v>-72.5727482016341</c:v>
                </c:pt>
                <c:pt idx="514">
                  <c:v>-72.9867321334625</c:v>
                </c:pt>
                <c:pt idx="515">
                  <c:v>-73.4004180204582</c:v>
                </c:pt>
                <c:pt idx="516">
                  <c:v>-73.813798438457</c:v>
                </c:pt>
                <c:pt idx="517">
                  <c:v>-74.2268673207073</c:v>
                </c:pt>
                <c:pt idx="518">
                  <c:v>-74.6396198770433</c:v>
                </c:pt>
                <c:pt idx="519">
                  <c:v>-75.0520525135088</c:v>
                </c:pt>
                <c:pt idx="520">
                  <c:v>-75.4641627528813</c:v>
                </c:pt>
                <c:pt idx="521">
                  <c:v>-75.8759491564907</c:v>
                </c:pt>
                <c:pt idx="522">
                  <c:v>-76.2874112476939</c:v>
                </c:pt>
                <c:pt idx="523">
                  <c:v>-76.6985494373116</c:v>
                </c:pt>
                <c:pt idx="524">
                  <c:v>-77.1093649512997</c:v>
                </c:pt>
                <c:pt idx="525">
                  <c:v>-77.5198597608782</c:v>
                </c:pt>
                <c:pt idx="526">
                  <c:v>-77.9300365153052</c:v>
                </c:pt>
                <c:pt idx="527">
                  <c:v>-78.3398984774459</c:v>
                </c:pt>
                <c:pt idx="528">
                  <c:v>-78.7494494622492</c:v>
                </c:pt>
                <c:pt idx="529">
                  <c:v>-79.1586937782125</c:v>
                </c:pt>
                <c:pt idx="530">
                  <c:v>-79.5676361718867</c:v>
                </c:pt>
                <c:pt idx="531">
                  <c:v>-79.9762817754457</c:v>
                </c:pt>
                <c:pt idx="532">
                  <c:v>-80.384636057316</c:v>
                </c:pt>
                <c:pt idx="533">
                  <c:v>-80.7927047758504</c:v>
                </c:pt>
                <c:pt idx="534">
                  <c:v>-81.2004939359966</c:v>
                </c:pt>
                <c:pt idx="535">
                  <c:v>-81.6080097489092</c:v>
                </c:pt>
                <c:pt idx="536">
                  <c:v>-82.0152585944261</c:v>
                </c:pt>
                <c:pt idx="537">
                  <c:v>-82.4222469863312</c:v>
                </c:pt>
                <c:pt idx="538">
                  <c:v>-82.8289815403022</c:v>
                </c:pt>
                <c:pt idx="539">
                  <c:v>-83.2354689444474</c:v>
                </c:pt>
                <c:pt idx="540">
                  <c:v>-83.6417159323179</c:v>
                </c:pt>
                <c:pt idx="541">
                  <c:v>-84.0477292582855</c:v>
                </c:pt>
              </c:numCache>
            </c:numRef>
          </c:yVal>
          <c:smooth val="1"/>
        </c:ser>
        <c:ser>
          <c:idx val="2"/>
          <c:order val="2"/>
          <c:tx>
            <c:strRef>
              <c:f>"f_LP"</c:f>
              <c:strCache>
                <c:ptCount val="1"/>
                <c:pt idx="0">
                  <c:v>f_LP</c:v>
                </c:pt>
              </c:strCache>
            </c:strRef>
          </c:tx>
          <c:spPr>
            <a:ln w="38100" cap="rnd" cmpd="sng" algn="ctr">
              <a:solidFill>
                <a:schemeClr val="accent3">
                  <a:shade val="76667"/>
                  <a:shade val="95000"/>
                  <a:satMod val="105000"/>
                </a:schemeClr>
              </a:solidFill>
              <a:prstDash val="solid"/>
              <a:round/>
            </a:ln>
          </c:spPr>
          <c:marker>
            <c:symbol val="x"/>
            <c:size val="7"/>
            <c:spPr>
              <a:noFill/>
            </c:spPr>
          </c:marker>
          <c:dPt>
            <c:idx val="0"/>
            <c:marker>
              <c:symbol val="x"/>
              <c:size val="7"/>
              <c:spPr>
                <a:noFill/>
                <a:ln w="19050" cap="flat" cmpd="sng" algn="ctr">
                  <a:solidFill>
                    <a:schemeClr val="tx1"/>
                  </a:solidFill>
                  <a:prstDash val="solid"/>
                  <a:round/>
                </a:ln>
              </c:spPr>
            </c:marker>
            <c:bubble3D val="0"/>
          </c:dPt>
          <c:dLbls>
            <c:dLbl>
              <c:idx val="0"/>
              <c:layout/>
              <c:tx>
                <c:rich>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r>
                      <a:rPr lang="en-US" sz="1100" b="1"/>
                      <a:t>f</a:t>
                    </a:r>
                    <a:r>
                      <a:rPr lang="en-US" sz="1100" b="1" baseline="-25000"/>
                      <a:t>LP</a:t>
                    </a:r>
                    <a:endParaRPr lang="en-US" b="1" baseline="-25000"/>
                  </a:p>
                </c:rich>
              </c:tx>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Loop_Modeling!$O$11</c:f>
              <c:numCache>
                <c:formatCode>0</c:formatCode>
                <c:ptCount val="1"/>
                <c:pt idx="0">
                  <c:v>545.674090600784</c:v>
                </c:pt>
              </c:numCache>
            </c:numRef>
          </c:xVal>
          <c:yVal>
            <c:numRef>
              <c:f>Loop_Modeling!$BL$11</c:f>
              <c:numCache>
                <c:formatCode>General</c:formatCode>
                <c:ptCount val="1"/>
                <c:pt idx="0">
                  <c:v>17.8733939768578</c:v>
                </c:pt>
              </c:numCache>
            </c:numRef>
          </c:yVal>
          <c:smooth val="0"/>
        </c:ser>
        <c:ser>
          <c:idx val="3"/>
          <c:order val="3"/>
          <c:tx>
            <c:strRef>
              <c:f>"fz_rhp"</c:f>
              <c:strCache>
                <c:ptCount val="1"/>
                <c:pt idx="0">
                  <c:v>fz_rhp</c:v>
                </c:pt>
              </c:strCache>
            </c:strRef>
          </c:tx>
          <c:spPr>
            <a:ln w="28575" cap="rnd" cmpd="sng" algn="ctr">
              <a:solidFill>
                <a:schemeClr val="tx1"/>
              </a:solidFill>
              <a:prstDash val="solid"/>
              <a:round/>
            </a:ln>
          </c:spPr>
          <c:marker>
            <c:symbol val="circle"/>
            <c:size val="7"/>
            <c:spPr>
              <a:noFill/>
              <a:ln w="19050" cap="flat" cmpd="sng" algn="ctr">
                <a:solidFill>
                  <a:schemeClr val="tx1"/>
                </a:solidFill>
                <a:prstDash val="solid"/>
                <a:round/>
              </a:ln>
            </c:spPr>
          </c:marker>
          <c:dLbls>
            <c:dLbl>
              <c:idx val="0"/>
              <c:layout>
                <c:manualLayout>
                  <c:x val="0.00805012095614235"/>
                  <c:y val="-0.0154936672785042"/>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Loop_Modeling!$O$9</c:f>
              <c:numCache>
                <c:formatCode>0</c:formatCode>
                <c:ptCount val="1"/>
                <c:pt idx="0">
                  <c:v>9094.56817667973</c:v>
                </c:pt>
              </c:numCache>
            </c:numRef>
          </c:xVal>
          <c:yVal>
            <c:numRef>
              <c:f>Loop_Modeling!$BL$9</c:f>
              <c:numCache>
                <c:formatCode>General</c:formatCode>
                <c:ptCount val="1"/>
                <c:pt idx="0">
                  <c:v>-9.89545524209129</c:v>
                </c:pt>
              </c:numCache>
            </c:numRef>
          </c:yVal>
          <c:smooth val="1"/>
        </c:ser>
        <c:ser>
          <c:idx val="4"/>
          <c:order val="4"/>
          <c:tx>
            <c:strRef>
              <c:f>"f_esr"</c:f>
              <c:strCache>
                <c:ptCount val="1"/>
                <c:pt idx="0">
                  <c:v>f_esr</c:v>
                </c:pt>
              </c:strCache>
            </c:strRef>
          </c:tx>
          <c:spPr>
            <a:ln w="28575" cap="rnd" cmpd="sng" algn="ctr">
              <a:noFill/>
              <a:prstDash val="solid"/>
              <a:round/>
            </a:ln>
          </c:spPr>
          <c:marker>
            <c:symbol val="circle"/>
            <c:size val="5"/>
            <c:spPr>
              <a:noFill/>
              <a:ln w="19050" cap="flat" cmpd="sng" algn="ctr">
                <a:solidFill>
                  <a:schemeClr val="tx1"/>
                </a:solidFill>
                <a:prstDash val="solid"/>
                <a:round/>
              </a:ln>
            </c:spPr>
          </c:marker>
          <c:dPt>
            <c:idx val="0"/>
            <c:marker>
              <c:symbol val="circle"/>
              <c:size val="7"/>
              <c:spPr>
                <a:noFill/>
                <a:ln w="19050" cap="flat" cmpd="sng" algn="ctr">
                  <a:solidFill>
                    <a:schemeClr val="tx1"/>
                  </a:solidFill>
                  <a:prstDash val="solid"/>
                  <a:round/>
                </a:ln>
              </c:spPr>
            </c:marker>
            <c:bubble3D val="0"/>
          </c:dPt>
          <c:dLbls>
            <c:dLbl>
              <c:idx val="0"/>
              <c:layout>
                <c:manualLayout>
                  <c:x val="-0.0599047448989965"/>
                  <c:y val="-0.0124571934900871"/>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Loop_Modeling!$O$10</c:f>
              <c:numCache>
                <c:formatCode>0</c:formatCode>
                <c:ptCount val="1"/>
                <c:pt idx="0">
                  <c:v>795774.715459477</c:v>
                </c:pt>
              </c:numCache>
            </c:numRef>
          </c:xVal>
          <c:yVal>
            <c:numRef>
              <c:f>Loop_Modeling!$BL$10</c:f>
              <c:numCache>
                <c:formatCode>General</c:formatCode>
                <c:ptCount val="1"/>
                <c:pt idx="0">
                  <c:v>-62.6305298687102</c:v>
                </c:pt>
              </c:numCache>
            </c:numRef>
          </c:yVal>
          <c:smooth val="1"/>
        </c:ser>
        <c:ser>
          <c:idx val="5"/>
          <c:order val="5"/>
          <c:tx>
            <c:strRef>
              <c:f>"fz_ea"</c:f>
              <c:strCache>
                <c:ptCount val="1"/>
                <c:pt idx="0">
                  <c:v>fz_ea</c:v>
                </c:pt>
              </c:strCache>
            </c:strRef>
          </c:tx>
          <c:marker>
            <c:symbol val="circle"/>
            <c:size val="8"/>
            <c:spPr>
              <a:noFill/>
              <a:ln w="25400" cap="flat" cmpd="sng" algn="ctr">
                <a:solidFill>
                  <a:srgbClr val="00B0F0"/>
                </a:solidFill>
                <a:prstDash val="solid"/>
                <a:round/>
              </a:ln>
            </c:spPr>
          </c:marker>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r"/>
            <c:showLegendKey val="0"/>
            <c:showVal val="0"/>
            <c:showCatName val="0"/>
            <c:showSerName val="0"/>
            <c:showPercent val="0"/>
            <c:showBubbleSize val="0"/>
            <c:showLeaderLines val="0"/>
            <c:extLst>
              <c:ext xmlns:c15="http://schemas.microsoft.com/office/drawing/2012/chart" uri="{CE6537A1-D6FC-4f65-9D91-7224C49458BB}">
                <c15:layout/>
                <c15:showLeaderLines val="0"/>
                <c15:leaderLines/>
              </c:ext>
            </c:extLst>
          </c:dLbls>
          <c:xVal>
            <c:numRef>
              <c:f>Loop_Modeling!$O$12</c:f>
              <c:numCache>
                <c:formatCode>General</c:formatCode>
                <c:ptCount val="1"/>
                <c:pt idx="0">
                  <c:v>641.753802789901</c:v>
                </c:pt>
              </c:numCache>
            </c:numRef>
          </c:xVal>
          <c:yVal>
            <c:numRef>
              <c:f>Loop_Modeling!$BL$12</c:f>
              <c:numCache>
                <c:formatCode>General</c:formatCode>
                <c:ptCount val="1"/>
                <c:pt idx="0">
                  <c:v>16.3412989386781</c:v>
                </c:pt>
              </c:numCache>
            </c:numRef>
          </c:yVal>
          <c:smooth val="1"/>
        </c:ser>
        <c:ser>
          <c:idx val="6"/>
          <c:order val="6"/>
          <c:tx>
            <c:strRef>
              <c:f>"fp_ea"</c:f>
              <c:strCache>
                <c:ptCount val="1"/>
                <c:pt idx="0">
                  <c:v>fp_ea</c:v>
                </c:pt>
              </c:strCache>
            </c:strRef>
          </c:tx>
          <c:marker>
            <c:symbol val="x"/>
            <c:size val="7"/>
            <c:spPr>
              <a:noFill/>
              <a:ln w="25400" cap="flat" cmpd="sng" algn="ctr">
                <a:solidFill>
                  <a:srgbClr val="00B0F0"/>
                </a:solidFill>
                <a:prstDash val="solid"/>
                <a:round/>
              </a:ln>
            </c:spPr>
          </c:marker>
          <c:dLbls>
            <c:dLbl>
              <c:idx val="0"/>
              <c:layout>
                <c:manualLayout>
                  <c:x val="-0.0539957399119839"/>
                  <c:y val="0.0337125100090066"/>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Loop_Modeling!$O$13</c:f>
              <c:numCache>
                <c:formatCode>General</c:formatCode>
                <c:ptCount val="1"/>
                <c:pt idx="0">
                  <c:v>5601.95323594212</c:v>
                </c:pt>
              </c:numCache>
            </c:numRef>
          </c:xVal>
          <c:yVal>
            <c:numRef>
              <c:f>Loop_Modeling!$BL$13</c:f>
              <c:numCache>
                <c:formatCode>General</c:formatCode>
                <c:ptCount val="1"/>
                <c:pt idx="0">
                  <c:v>-4.69074111252394</c:v>
                </c:pt>
              </c:numCache>
            </c:numRef>
          </c:yVal>
          <c:smooth val="1"/>
        </c:ser>
        <c:dLbls>
          <c:showLegendKey val="0"/>
          <c:showVal val="0"/>
          <c:showCatName val="0"/>
          <c:showSerName val="0"/>
          <c:showPercent val="0"/>
          <c:showBubbleSize val="0"/>
        </c:dLbls>
        <c:axId val="174189952"/>
        <c:axId val="175126016"/>
      </c:scatterChart>
      <c:scatterChart>
        <c:scatterStyle val="smooth"/>
        <c:varyColors val="0"/>
        <c:ser>
          <c:idx val="1"/>
          <c:order val="1"/>
          <c:tx>
            <c:strRef>
              <c:f>"Phase (deg)"</c:f>
              <c:strCache>
                <c:ptCount val="1"/>
                <c:pt idx="0">
                  <c:v>Phase (deg)</c:v>
                </c:pt>
              </c:strCache>
            </c:strRef>
          </c:tx>
          <c:spPr>
            <a:ln w="28575"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89.6673750000143</c:v>
                </c:pt>
                <c:pt idx="1">
                  <c:v>89.6596295140257</c:v>
                </c:pt>
                <c:pt idx="2">
                  <c:v>89.6517037801716</c:v>
                </c:pt>
                <c:pt idx="3">
                  <c:v>89.6435936119232</c:v>
                </c:pt>
                <c:pt idx="4">
                  <c:v>89.6352947260911</c:v>
                </c:pt>
                <c:pt idx="5">
                  <c:v>89.6268027406343</c:v>
                </c:pt>
                <c:pt idx="6">
                  <c:v>89.6181131724236</c:v>
                </c:pt>
                <c:pt idx="7">
                  <c:v>89.6092214349568</c:v>
                </c:pt>
                <c:pt idx="8">
                  <c:v>89.6001228360261</c:v>
                </c:pt>
                <c:pt idx="9">
                  <c:v>89.5908125753361</c:v>
                </c:pt>
                <c:pt idx="10">
                  <c:v>89.5812857420726</c:v>
                </c:pt>
                <c:pt idx="11">
                  <c:v>89.5715373124201</c:v>
                </c:pt>
                <c:pt idx="12">
                  <c:v>89.5615621470291</c:v>
                </c:pt>
                <c:pt idx="13">
                  <c:v>89.5513549884306</c:v>
                </c:pt>
                <c:pt idx="14">
                  <c:v>89.540910458398</c:v>
                </c:pt>
                <c:pt idx="15">
                  <c:v>89.530223055256</c:v>
                </c:pt>
                <c:pt idx="16">
                  <c:v>89.5192871511355</c:v>
                </c:pt>
                <c:pt idx="17">
                  <c:v>89.508096989173</c:v>
                </c:pt>
                <c:pt idx="18">
                  <c:v>89.4966466806555</c:v>
                </c:pt>
                <c:pt idx="19">
                  <c:v>89.4849302021095</c:v>
                </c:pt>
                <c:pt idx="20">
                  <c:v>89.4729413923328</c:v>
                </c:pt>
                <c:pt idx="21">
                  <c:v>89.4606739493701</c:v>
                </c:pt>
                <c:pt idx="22">
                  <c:v>89.4481214274309</c:v>
                </c:pt>
                <c:pt idx="23">
                  <c:v>89.4352772337492</c:v>
                </c:pt>
                <c:pt idx="24">
                  <c:v>89.4221346253857</c:v>
                </c:pt>
                <c:pt idx="25">
                  <c:v>89.4086867059707</c:v>
                </c:pt>
                <c:pt idx="26">
                  <c:v>89.3949264223888</c:v>
                </c:pt>
                <c:pt idx="27">
                  <c:v>89.3808465614044</c:v>
                </c:pt>
                <c:pt idx="28">
                  <c:v>89.3664397462282</c:v>
                </c:pt>
                <c:pt idx="29">
                  <c:v>89.3516984330247</c:v>
                </c:pt>
                <c:pt idx="30">
                  <c:v>89.336614907361</c:v>
                </c:pt>
                <c:pt idx="31">
                  <c:v>89.3211812805963</c:v>
                </c:pt>
                <c:pt idx="32">
                  <c:v>89.3053894862138</c:v>
                </c:pt>
                <c:pt idx="33">
                  <c:v>89.2892312760938</c:v>
                </c:pt>
                <c:pt idx="34">
                  <c:v>89.2726982167301</c:v>
                </c:pt>
                <c:pt idx="35">
                  <c:v>89.2557816853895</c:v>
                </c:pt>
                <c:pt idx="36">
                  <c:v>89.2384728662146</c:v>
                </c:pt>
                <c:pt idx="37">
                  <c:v>89.2207627462741</c:v>
                </c:pt>
                <c:pt idx="38">
                  <c:v>89.2026421115567</c:v>
                </c:pt>
                <c:pt idx="39">
                  <c:v>89.184101542915</c:v>
                </c:pt>
                <c:pt idx="40">
                  <c:v>89.1651314119583</c:v>
                </c:pt>
                <c:pt idx="41">
                  <c:v>89.1457218768967</c:v>
                </c:pt>
                <c:pt idx="42">
                  <c:v>89.1258628783387</c:v>
                </c:pt>
                <c:pt idx="43">
                  <c:v>89.1055441350448</c:v>
                </c:pt>
                <c:pt idx="44">
                  <c:v>89.0847551396402</c:v>
                </c:pt>
                <c:pt idx="45">
                  <c:v>89.0634851542883</c:v>
                </c:pt>
                <c:pt idx="46">
                  <c:v>89.0417232063302</c:v>
                </c:pt>
                <c:pt idx="47">
                  <c:v>89.0194580838914</c:v>
                </c:pt>
                <c:pt idx="48">
                  <c:v>88.9966783314628</c:v>
                </c:pt>
                <c:pt idx="49">
                  <c:v>88.9733722454579</c:v>
                </c:pt>
                <c:pt idx="50">
                  <c:v>88.9495278697526</c:v>
                </c:pt>
                <c:pt idx="51">
                  <c:v>88.9251329912125</c:v>
                </c:pt>
                <c:pt idx="52">
                  <c:v>88.9001751352136</c:v>
                </c:pt>
                <c:pt idx="53">
                  <c:v>88.8746415611628</c:v>
                </c:pt>
                <c:pt idx="54">
                  <c:v>88.8485192580258</c:v>
                </c:pt>
                <c:pt idx="55">
                  <c:v>88.8217949398693</c:v>
                </c:pt>
                <c:pt idx="56">
                  <c:v>88.7944550414262</c:v>
                </c:pt>
                <c:pt idx="57">
                  <c:v>88.7664857136927</c:v>
                </c:pt>
                <c:pt idx="58">
                  <c:v>88.7378728195671</c:v>
                </c:pt>
                <c:pt idx="59">
                  <c:v>88.7086019295407</c:v>
                </c:pt>
                <c:pt idx="60">
                  <c:v>88.6786583174532</c:v>
                </c:pt>
                <c:pt idx="61">
                  <c:v>88.648026956322</c:v>
                </c:pt>
                <c:pt idx="62">
                  <c:v>88.6166925142631</c:v>
                </c:pt>
                <c:pt idx="63">
                  <c:v>88.5846393505132</c:v>
                </c:pt>
                <c:pt idx="64">
                  <c:v>88.551851511572</c:v>
                </c:pt>
                <c:pt idx="65">
                  <c:v>88.5183127274785</c:v>
                </c:pt>
                <c:pt idx="66">
                  <c:v>88.484006408241</c:v>
                </c:pt>
                <c:pt idx="67">
                  <c:v>88.4489156404372</c:v>
                </c:pt>
                <c:pt idx="68">
                  <c:v>88.4130231840079</c:v>
                </c:pt>
                <c:pt idx="69">
                  <c:v>88.3763114692623</c:v>
                </c:pt>
                <c:pt idx="70">
                  <c:v>88.3387625941208</c:v>
                </c:pt>
                <c:pt idx="71">
                  <c:v>88.3003583216178</c:v>
                </c:pt>
                <c:pt idx="72">
                  <c:v>88.261080077693</c:v>
                </c:pt>
                <c:pt idx="73">
                  <c:v>88.2209089492958</c:v>
                </c:pt>
                <c:pt idx="74">
                  <c:v>88.179825682836</c:v>
                </c:pt>
                <c:pt idx="75">
                  <c:v>88.1378106830094</c:v>
                </c:pt>
                <c:pt idx="76">
                  <c:v>88.0948440120342</c:v>
                </c:pt>
                <c:pt idx="77">
                  <c:v>88.0509053893298</c:v>
                </c:pt>
                <c:pt idx="78">
                  <c:v>88.0059741916806</c:v>
                </c:pt>
                <c:pt idx="79">
                  <c:v>87.9600294539197</c:v>
                </c:pt>
                <c:pt idx="80">
                  <c:v>87.9130498701758</c:v>
                </c:pt>
                <c:pt idx="81">
                  <c:v>87.8650137957292</c:v>
                </c:pt>
                <c:pt idx="82">
                  <c:v>87.8158992495191</c:v>
                </c:pt>
                <c:pt idx="83">
                  <c:v>87.7656839173543</c:v>
                </c:pt>
                <c:pt idx="84">
                  <c:v>87.7143451558767</c:v>
                </c:pt>
                <c:pt idx="85">
                  <c:v>87.6618599973307</c:v>
                </c:pt>
                <c:pt idx="86">
                  <c:v>87.6082051551943</c:v>
                </c:pt>
                <c:pt idx="87">
                  <c:v>87.5533570307314</c:v>
                </c:pt>
                <c:pt idx="88">
                  <c:v>87.4972917205228</c:v>
                </c:pt>
                <c:pt idx="89">
                  <c:v>87.439985025041</c:v>
                </c:pt>
                <c:pt idx="90">
                  <c:v>87.3814124583337</c:v>
                </c:pt>
                <c:pt idx="91">
                  <c:v>87.3215492588803</c:v>
                </c:pt>
                <c:pt idx="92">
                  <c:v>87.2603704016954</c:v>
                </c:pt>
                <c:pt idx="93">
                  <c:v>87.1978506117432</c:v>
                </c:pt>
                <c:pt idx="94">
                  <c:v>87.1339643787426</c:v>
                </c:pt>
                <c:pt idx="95">
                  <c:v>87.0686859734311</c:v>
                </c:pt>
                <c:pt idx="96">
                  <c:v>87.001989465365</c:v>
                </c:pt>
                <c:pt idx="97">
                  <c:v>86.9338487423298</c:v>
                </c:pt>
                <c:pt idx="98">
                  <c:v>86.864237531438</c:v>
                </c:pt>
                <c:pt idx="99">
                  <c:v>86.7931294219876</c:v>
                </c:pt>
                <c:pt idx="100">
                  <c:v>86.7204978901574</c:v>
                </c:pt>
                <c:pt idx="101">
                  <c:v>86.6463163256101</c:v>
                </c:pt>
                <c:pt idx="102">
                  <c:v>86.5705580600752</c:v>
                </c:pt>
                <c:pt idx="103">
                  <c:v>86.4931963979787</c:v>
                </c:pt>
                <c:pt idx="104">
                  <c:v>86.4142046491811</c:v>
                </c:pt>
                <c:pt idx="105">
                  <c:v>86.3335561638861</c:v>
                </c:pt>
                <c:pt idx="106">
                  <c:v>86.2512243697648</c:v>
                </c:pt>
                <c:pt idx="107">
                  <c:v>86.1671828113465</c:v>
                </c:pt>
                <c:pt idx="108">
                  <c:v>86.0814051917064</c:v>
                </c:pt>
                <c:pt idx="109">
                  <c:v>85.9938654164761</c:v>
                </c:pt>
                <c:pt idx="110">
                  <c:v>85.9045376401875</c:v>
                </c:pt>
                <c:pt idx="111">
                  <c:v>85.8133963149498</c:v>
                </c:pt>
                <c:pt idx="112">
                  <c:v>85.7204162414373</c:v>
                </c:pt>
                <c:pt idx="113">
                  <c:v>85.6255726221547</c:v>
                </c:pt>
                <c:pt idx="114">
                  <c:v>85.5288411169177</c:v>
                </c:pt>
                <c:pt idx="115">
                  <c:v>85.4301979004698</c:v>
                </c:pt>
                <c:pt idx="116">
                  <c:v>85.3296197221299</c:v>
                </c:pt>
                <c:pt idx="117">
                  <c:v>85.2270839673288</c:v>
                </c:pt>
                <c:pt idx="118">
                  <c:v>85.1225687208751</c:v>
                </c:pt>
                <c:pt idx="119">
                  <c:v>85.0160528317442</c:v>
                </c:pt>
                <c:pt idx="120">
                  <c:v>84.9075159791528</c:v>
                </c:pt>
                <c:pt idx="121">
                  <c:v>84.7969387396416</c:v>
                </c:pt>
                <c:pt idx="122">
                  <c:v>84.6843026548443</c:v>
                </c:pt>
                <c:pt idx="123">
                  <c:v>84.5695902995735</c:v>
                </c:pt>
                <c:pt idx="124">
                  <c:v>84.4527853498087</c:v>
                </c:pt>
                <c:pt idx="125">
                  <c:v>84.3338726501192</c:v>
                </c:pt>
                <c:pt idx="126">
                  <c:v>84.2128382799969</c:v>
                </c:pt>
                <c:pt idx="127">
                  <c:v>84.0896696185268</c:v>
                </c:pt>
                <c:pt idx="128">
                  <c:v>83.9643554067559</c:v>
                </c:pt>
                <c:pt idx="129">
                  <c:v>83.8368858070679</c:v>
                </c:pt>
                <c:pt idx="130">
                  <c:v>83.7072524588156</c:v>
                </c:pt>
                <c:pt idx="131">
                  <c:v>83.5754485293938</c:v>
                </c:pt>
                <c:pt idx="132">
                  <c:v>83.4414687598878</c:v>
                </c:pt>
                <c:pt idx="133">
                  <c:v>83.3053095043696</c:v>
                </c:pt>
                <c:pt idx="134">
                  <c:v>83.1669687618681</c:v>
                </c:pt>
                <c:pt idx="135">
                  <c:v>83.0264461999818</c:v>
                </c:pt>
                <c:pt idx="136">
                  <c:v>82.8837431690684</c:v>
                </c:pt>
                <c:pt idx="137">
                  <c:v>82.7388627059046</c:v>
                </c:pt>
                <c:pt idx="138">
                  <c:v>82.5918095256819</c:v>
                </c:pt>
                <c:pt idx="139">
                  <c:v>82.4425900011858</c:v>
                </c:pt>
                <c:pt idx="140">
                  <c:v>82.2912121280047</c:v>
                </c:pt>
                <c:pt idx="141">
                  <c:v>82.137685474616</c:v>
                </c:pt>
                <c:pt idx="142">
                  <c:v>81.9820211162176</c:v>
                </c:pt>
                <c:pt idx="143">
                  <c:v>81.824231551223</c:v>
                </c:pt>
                <c:pt idx="144">
                  <c:v>81.6643305993778</c:v>
                </c:pt>
                <c:pt idx="145">
                  <c:v>81.5023332805481</c:v>
                </c:pt>
                <c:pt idx="146">
                  <c:v>81.3382556733158</c:v>
                </c:pt>
                <c:pt idx="147">
                  <c:v>81.1721147526415</c:v>
                </c:pt>
                <c:pt idx="148">
                  <c:v>81.0039282059934</c:v>
                </c:pt>
                <c:pt idx="149">
                  <c:v>80.8337142275065</c:v>
                </c:pt>
                <c:pt idx="150">
                  <c:v>80.6614912899187</c:v>
                </c:pt>
                <c:pt idx="151">
                  <c:v>80.4872778942423</c:v>
                </c:pt>
                <c:pt idx="152">
                  <c:v>80.3110922973566</c:v>
                </c:pt>
                <c:pt idx="153">
                  <c:v>80.1329522179531</c:v>
                </c:pt>
                <c:pt idx="154">
                  <c:v>79.9528745215371</c:v>
                </c:pt>
                <c:pt idx="155">
                  <c:v>79.7708748854551</c:v>
                </c:pt>
                <c:pt idx="156">
                  <c:v>79.5869674452231</c:v>
                </c:pt>
                <c:pt idx="157">
                  <c:v>79.4011644237113</c:v>
                </c:pt>
                <c:pt idx="158">
                  <c:v>79.2134757450494</c:v>
                </c:pt>
                <c:pt idx="159">
                  <c:v>79.0239086354043</c:v>
                </c:pt>
                <c:pt idx="160">
                  <c:v>78.8324672130706</c:v>
                </c:pt>
                <c:pt idx="161">
                  <c:v>78.6391520705793</c:v>
                </c:pt>
                <c:pt idx="162">
                  <c:v>78.4439598517904</c:v>
                </c:pt>
                <c:pt idx="163">
                  <c:v>78.2468828271423</c:v>
                </c:pt>
                <c:pt idx="164">
                  <c:v>78.0479084704348</c:v>
                </c:pt>
                <c:pt idx="165">
                  <c:v>77.8470190406662</c:v>
                </c:pt>
                <c:pt idx="166">
                  <c:v>77.6441911725536</c:v>
                </c:pt>
                <c:pt idx="167">
                  <c:v>77.4393954794254</c:v>
                </c:pt>
                <c:pt idx="168">
                  <c:v>77.2325961721879</c:v>
                </c:pt>
                <c:pt idx="169">
                  <c:v>77.0237506980097</c:v>
                </c:pt>
                <c:pt idx="170">
                  <c:v>76.8128094022804</c:v>
                </c:pt>
                <c:pt idx="171">
                  <c:v>76.599715217228</c:v>
                </c:pt>
                <c:pt idx="172">
                  <c:v>76.3844033803721</c:v>
                </c:pt>
                <c:pt idx="173">
                  <c:v>76.1668011857246</c:v>
                </c:pt>
                <c:pt idx="174">
                  <c:v>75.946827770326</c:v>
                </c:pt>
                <c:pt idx="175">
                  <c:v>75.7243939383496</c:v>
                </c:pt>
                <c:pt idx="176">
                  <c:v>75.4994020246066</c:v>
                </c:pt>
                <c:pt idx="177">
                  <c:v>75.2717457988488</c:v>
                </c:pt>
                <c:pt idx="178">
                  <c:v>75.0413104118132</c:v>
                </c:pt>
                <c:pt idx="179">
                  <c:v>74.8079723834879</c:v>
                </c:pt>
                <c:pt idx="180">
                  <c:v>74.5715996335883</c:v>
                </c:pt>
                <c:pt idx="181">
                  <c:v>74.3320515537791</c:v>
                </c:pt>
                <c:pt idx="182">
                  <c:v>74.0891791206966</c:v>
                </c:pt>
                <c:pt idx="183">
                  <c:v>73.8428250484019</c:v>
                </c:pt>
                <c:pt idx="184">
                  <c:v>73.592823978475</c:v>
                </c:pt>
                <c:pt idx="185">
                  <c:v>73.3390027055899</c:v>
                </c:pt>
                <c:pt idx="186">
                  <c:v>73.0811804360778</c:v>
                </c:pt>
                <c:pt idx="187">
                  <c:v>72.8191690767075</c:v>
                </c:pt>
                <c:pt idx="188">
                  <c:v>72.552773550672</c:v>
                </c:pt>
                <c:pt idx="189">
                  <c:v>72.2817921376073</c:v>
                </c:pt>
                <c:pt idx="190">
                  <c:v>72.0060168343475</c:v>
                </c:pt>
                <c:pt idx="191">
                  <c:v>71.7252337330537</c:v>
                </c:pt>
                <c:pt idx="192">
                  <c:v>71.4392234133585</c:v>
                </c:pt>
                <c:pt idx="193">
                  <c:v>71.1477613452156</c:v>
                </c:pt>
                <c:pt idx="194">
                  <c:v>70.8506182992349</c:v>
                </c:pt>
                <c:pt idx="195">
                  <c:v>70.547560761442</c:v>
                </c:pt>
                <c:pt idx="196">
                  <c:v>70.2383513495802</c:v>
                </c:pt>
                <c:pt idx="197">
                  <c:v>69.9227492282967</c:v>
                </c:pt>
                <c:pt idx="198">
                  <c:v>69.6005105208095</c:v>
                </c:pt>
                <c:pt idx="199">
                  <c:v>69.2713887149334</c:v>
                </c:pt>
                <c:pt idx="200">
                  <c:v>68.9351350616184</c:v>
                </c:pt>
                <c:pt idx="201">
                  <c:v>68.5914989644921</c:v>
                </c:pt>
                <c:pt idx="202">
                  <c:v>68.2402283591718</c:v>
                </c:pt>
                <c:pt idx="203">
                  <c:v>67.8810700814585</c:v>
                </c:pt>
                <c:pt idx="204">
                  <c:v>67.5137702238048</c:v>
                </c:pt>
                <c:pt idx="205">
                  <c:v>67.1380744797657</c:v>
                </c:pt>
                <c:pt idx="206">
                  <c:v>66.7537284764137</c:v>
                </c:pt>
                <c:pt idx="207">
                  <c:v>66.3604780949722</c:v>
                </c:pt>
                <c:pt idx="208">
                  <c:v>65.9580697801734</c:v>
                </c:pt>
                <c:pt idx="209">
                  <c:v>65.5462508390624</c:v>
                </c:pt>
                <c:pt idx="210">
                  <c:v>65.1247697301857</c:v>
                </c:pt>
                <c:pt idx="211">
                  <c:v>64.6933763442692</c:v>
                </c:pt>
                <c:pt idx="212">
                  <c:v>64.2518222776576</c:v>
                </c:pt>
                <c:pt idx="213">
                  <c:v>63.7998610999002</c:v>
                </c:pt>
                <c:pt idx="214">
                  <c:v>63.3372486169839</c:v>
                </c:pt>
                <c:pt idx="215">
                  <c:v>62.8637431317835</c:v>
                </c:pt>
                <c:pt idx="216">
                  <c:v>62.3791057033649</c:v>
                </c:pt>
                <c:pt idx="217">
                  <c:v>61.8831004067878</c:v>
                </c:pt>
                <c:pt idx="218">
                  <c:v>61.3754945950845</c:v>
                </c:pt>
                <c:pt idx="219">
                  <c:v>60.8560591650658</c:v>
                </c:pt>
                <c:pt idx="220">
                  <c:v>60.3245688285698</c:v>
                </c:pt>
                <c:pt idx="221">
                  <c:v>59.7808023907274</c:v>
                </c:pt>
                <c:pt idx="222">
                  <c:v>59.224543036739</c:v>
                </c:pt>
                <c:pt idx="223">
                  <c:v>58.65557862857</c:v>
                </c:pt>
                <c:pt idx="224">
                  <c:v>58.0737020128785</c:v>
                </c:pt>
                <c:pt idx="225">
                  <c:v>57.4787113413592</c:v>
                </c:pt>
                <c:pt idx="226">
                  <c:v>56.8704104045587</c:v>
                </c:pt>
                <c:pt idx="227">
                  <c:v>56.2486089800802</c:v>
                </c:pt>
                <c:pt idx="228">
                  <c:v>55.6131231959289</c:v>
                </c:pt>
                <c:pt idx="229">
                  <c:v>54.9637759095776</c:v>
                </c:pt>
                <c:pt idx="230">
                  <c:v>54.3003971031641</c:v>
                </c:pt>
                <c:pt idx="231">
                  <c:v>53.6228242950308</c:v>
                </c:pt>
                <c:pt idx="232">
                  <c:v>52.9309029676207</c:v>
                </c:pt>
                <c:pt idx="233">
                  <c:v>52.2244870115305</c:v>
                </c:pt>
                <c:pt idx="234">
                  <c:v>51.5034391853157</c:v>
                </c:pt>
                <c:pt idx="235">
                  <c:v>50.7676315904059</c:v>
                </c:pt>
                <c:pt idx="236">
                  <c:v>50.0169461602593</c:v>
                </c:pt>
                <c:pt idx="237">
                  <c:v>49.2512751626702</c:v>
                </c:pt>
                <c:pt idx="238">
                  <c:v>48.4705217138689</c:v>
                </c:pt>
                <c:pt idx="239">
                  <c:v>47.6746003028484</c:v>
                </c:pt>
                <c:pt idx="240">
                  <c:v>46.8634373240933</c:v>
                </c:pt>
                <c:pt idx="241">
                  <c:v>46.0369716166402</c:v>
                </c:pt>
                <c:pt idx="242">
                  <c:v>45.1951550071869</c:v>
                </c:pt>
                <c:pt idx="243">
                  <c:v>44.3379528547123</c:v>
                </c:pt>
                <c:pt idx="244">
                  <c:v>43.4653445938635</c:v>
                </c:pt>
                <c:pt idx="245">
                  <c:v>42.577324274151</c:v>
                </c:pt>
                <c:pt idx="246">
                  <c:v>41.6739010917936</c:v>
                </c:pt>
                <c:pt idx="247">
                  <c:v>40.7550999108821</c:v>
                </c:pt>
                <c:pt idx="248">
                  <c:v>39.820961770363</c:v>
                </c:pt>
                <c:pt idx="249">
                  <c:v>38.8715443732108</c:v>
                </c:pt>
                <c:pt idx="250">
                  <c:v>37.9069225540435</c:v>
                </c:pt>
                <c:pt idx="251">
                  <c:v>36.927188721356</c:v>
                </c:pt>
                <c:pt idx="252">
                  <c:v>35.9324532704907</c:v>
                </c:pt>
                <c:pt idx="253">
                  <c:v>34.9228449634465</c:v>
                </c:pt>
                <c:pt idx="254">
                  <c:v>33.898511271649</c:v>
                </c:pt>
                <c:pt idx="255">
                  <c:v>32.8596186778558</c:v>
                </c:pt>
                <c:pt idx="256">
                  <c:v>31.8063529334676</c:v>
                </c:pt>
                <c:pt idx="257">
                  <c:v>30.7389192676407</c:v>
                </c:pt>
                <c:pt idx="258">
                  <c:v>29.6575425447887</c:v>
                </c:pt>
                <c:pt idx="259">
                  <c:v>28.5624673672453</c:v>
                </c:pt>
                <c:pt idx="260">
                  <c:v>27.4539581201393</c:v>
                </c:pt>
                <c:pt idx="261">
                  <c:v>26.3322989557951</c:v>
                </c:pt>
                <c:pt idx="262">
                  <c:v>25.1977937153089</c:v>
                </c:pt>
                <c:pt idx="263">
                  <c:v>24.0507657852894</c:v>
                </c:pt>
                <c:pt idx="264">
                  <c:v>22.8915578881423</c:v>
                </c:pt>
                <c:pt idx="265">
                  <c:v>21.7205318046647</c:v>
                </c:pt>
                <c:pt idx="266">
                  <c:v>20.5380680281502</c:v>
                </c:pt>
                <c:pt idx="267">
                  <c:v>19.3445653496214</c:v>
                </c:pt>
                <c:pt idx="268">
                  <c:v>18.1404403742709</c:v>
                </c:pt>
                <c:pt idx="269">
                  <c:v>16.9261269696111</c:v>
                </c:pt>
                <c:pt idx="270">
                  <c:v>15.7020756463002</c:v>
                </c:pt>
                <c:pt idx="271">
                  <c:v>14.4687528730315</c:v>
                </c:pt>
                <c:pt idx="272">
                  <c:v>13.2266403273123</c:v>
                </c:pt>
                <c:pt idx="273">
                  <c:v>11.9762340843583</c:v>
                </c:pt>
                <c:pt idx="274">
                  <c:v>10.7180437467267</c:v>
                </c:pt>
                <c:pt idx="275">
                  <c:v>9.45259151768063</c:v>
                </c:pt>
                <c:pt idx="276">
                  <c:v>8.18041122161719</c:v>
                </c:pt>
                <c:pt idx="277">
                  <c:v>6.9020472752113</c:v>
                </c:pt>
                <c:pt idx="278">
                  <c:v>5.61805361321361</c:v>
                </c:pt>
                <c:pt idx="279">
                  <c:v>4.32899257310442</c:v>
                </c:pt>
                <c:pt idx="280">
                  <c:v>3.03543374302374</c:v>
                </c:pt>
                <c:pt idx="281">
                  <c:v>1.73795277761957</c:v>
                </c:pt>
                <c:pt idx="282">
                  <c:v>0.437130186588435</c:v>
                </c:pt>
                <c:pt idx="283">
                  <c:v>-0.866449899121073</c:v>
                </c:pt>
                <c:pt idx="284">
                  <c:v>-2.17220097841337</c:v>
                </c:pt>
                <c:pt idx="285">
                  <c:v>-3.47953544330123</c:v>
                </c:pt>
                <c:pt idx="286">
                  <c:v>-4.78786584911537</c:v>
                </c:pt>
                <c:pt idx="287">
                  <c:v>-6.09660618642204</c:v>
                </c:pt>
                <c:pt idx="288">
                  <c:v>-7.40517314940164</c:v>
                </c:pt>
                <c:pt idx="289">
                  <c:v>-8.71298739545337</c:v>
                </c:pt>
                <c:pt idx="290">
                  <c:v>-10.019474790824</c:v>
                </c:pt>
                <c:pt idx="291">
                  <c:v>-11.3240676371344</c:v>
                </c:pt>
                <c:pt idx="292">
                  <c:v>-12.6262058737609</c:v>
                </c:pt>
                <c:pt idx="293">
                  <c:v>-13.9253382511544</c:v>
                </c:pt>
                <c:pt idx="294">
                  <c:v>-15.2209234703202</c:v>
                </c:pt>
                <c:pt idx="295">
                  <c:v>-16.5124312838603</c:v>
                </c:pt>
                <c:pt idx="296">
                  <c:v>-17.7993435541861</c:v>
                </c:pt>
                <c:pt idx="297">
                  <c:v>-19.0811552647397</c:v>
                </c:pt>
                <c:pt idx="298">
                  <c:v>-20.3573754803304</c:v>
                </c:pt>
                <c:pt idx="299">
                  <c:v>-21.6275282529767</c:v>
                </c:pt>
                <c:pt idx="300">
                  <c:v>-22.8911534699848</c:v>
                </c:pt>
                <c:pt idx="301">
                  <c:v>-24.1478076413102</c:v>
                </c:pt>
                <c:pt idx="302">
                  <c:v>-25.3970646236614</c:v>
                </c:pt>
                <c:pt idx="303">
                  <c:v>-26.6385162791538</c:v>
                </c:pt>
                <c:pt idx="304">
                  <c:v>-27.8717730667771</c:v>
                </c:pt>
                <c:pt idx="305">
                  <c:v>-29.096464565329</c:v>
                </c:pt>
                <c:pt idx="306">
                  <c:v>-30.3122399269295</c:v>
                </c:pt>
                <c:pt idx="307">
                  <c:v>-31.5187682606526</c:v>
                </c:pt>
                <c:pt idx="308">
                  <c:v>-32.7157389462718</c:v>
                </c:pt>
                <c:pt idx="309">
                  <c:v>-33.90286187854</c:v>
                </c:pt>
                <c:pt idx="310">
                  <c:v>-35.0798676428441</c:v>
                </c:pt>
                <c:pt idx="311">
                  <c:v>-36.246507623516</c:v>
                </c:pt>
                <c:pt idx="312">
                  <c:v>-37.4025540464392</c:v>
                </c:pt>
                <c:pt idx="313">
                  <c:v>-38.5477999579809</c:v>
                </c:pt>
                <c:pt idx="314">
                  <c:v>-39.6820591426112</c:v>
                </c:pt>
                <c:pt idx="315">
                  <c:v>-40.8051659818846</c:v>
                </c:pt>
                <c:pt idx="316">
                  <c:v>-41.9169752577333</c:v>
                </c:pt>
                <c:pt idx="317">
                  <c:v>-43.0173619032485</c:v>
                </c:pt>
                <c:pt idx="318">
                  <c:v>-44.1062207043581</c:v>
                </c:pt>
                <c:pt idx="319">
                  <c:v>-45.1834659559267</c:v>
                </c:pt>
                <c:pt idx="320">
                  <c:v>-46.2490310759775</c:v>
                </c:pt>
                <c:pt idx="321">
                  <c:v>-47.3028681817728</c:v>
                </c:pt>
                <c:pt idx="322">
                  <c:v>-48.3449476315755</c:v>
                </c:pt>
                <c:pt idx="323">
                  <c:v>-49.3752575359085</c:v>
                </c:pt>
                <c:pt idx="324">
                  <c:v>-50.3938032421059</c:v>
                </c:pt>
                <c:pt idx="325">
                  <c:v>-51.4006067959013</c:v>
                </c:pt>
                <c:pt idx="326">
                  <c:v>-52.395706383719</c:v>
                </c:pt>
                <c:pt idx="327">
                  <c:v>-53.3791557592156</c:v>
                </c:pt>
                <c:pt idx="328">
                  <c:v>-54.3510236574994</c:v>
                </c:pt>
                <c:pt idx="329">
                  <c:v>-55.3113932002957</c:v>
                </c:pt>
                <c:pt idx="330">
                  <c:v>-56.2603612951569</c:v>
                </c:pt>
                <c:pt idx="331">
                  <c:v>-57.1980380316429</c:v>
                </c:pt>
                <c:pt idx="332">
                  <c:v>-58.1245460771951</c:v>
                </c:pt>
                <c:pt idx="333">
                  <c:v>-59.0400200752347</c:v>
                </c:pt>
                <c:pt idx="334">
                  <c:v>-59.9446060478001</c:v>
                </c:pt>
                <c:pt idx="335">
                  <c:v>-60.8384608048448</c:v>
                </c:pt>
                <c:pt idx="336">
                  <c:v>-61.7217513620901</c:v>
                </c:pt>
                <c:pt idx="337">
                  <c:v>-62.5946543691413</c:v>
                </c:pt>
                <c:pt idx="338">
                  <c:v>-63.4573555493503</c:v>
                </c:pt>
                <c:pt idx="339">
                  <c:v>-64.3100491527293</c:v>
                </c:pt>
                <c:pt idx="340">
                  <c:v>-65.1529374230129</c:v>
                </c:pt>
                <c:pt idx="341">
                  <c:v>-65.9862300797951</c:v>
                </c:pt>
                <c:pt idx="342">
                  <c:v>-66.8101438164807</c:v>
                </c:pt>
                <c:pt idx="343">
                  <c:v>-67.6249018146296</c:v>
                </c:pt>
                <c:pt idx="344">
                  <c:v>-68.4307332751175</c:v>
                </c:pt>
                <c:pt idx="345">
                  <c:v>-69.227872966386</c:v>
                </c:pt>
                <c:pt idx="346">
                  <c:v>-70.016560789917</c:v>
                </c:pt>
                <c:pt idx="347">
                  <c:v>-70.7970413629441</c:v>
                </c:pt>
                <c:pt idx="348">
                  <c:v>-71.5695636182973</c:v>
                </c:pt>
                <c:pt idx="349">
                  <c:v>-72.3343804211614</c:v>
                </c:pt>
                <c:pt idx="350">
                  <c:v>-73.0917482024472</c:v>
                </c:pt>
                <c:pt idx="351">
                  <c:v>-73.8419266083687</c:v>
                </c:pt>
                <c:pt idx="352">
                  <c:v>-74.5851781657551</c:v>
                </c:pt>
                <c:pt idx="353">
                  <c:v>-75.3217679625465</c:v>
                </c:pt>
                <c:pt idx="354">
                  <c:v>-76.0519633428658</c:v>
                </c:pt>
                <c:pt idx="355">
                  <c:v>-76.7760336159922</c:v>
                </c:pt>
                <c:pt idx="356">
                  <c:v>-77.494249778532</c:v>
                </c:pt>
                <c:pt idx="357">
                  <c:v>-78.2068842490185</c:v>
                </c:pt>
                <c:pt idx="358">
                  <c:v>-78.9142106141523</c:v>
                </c:pt>
                <c:pt idx="359">
                  <c:v>-79.6165033858546</c:v>
                </c:pt>
                <c:pt idx="360">
                  <c:v>-80.314037768282</c:v>
                </c:pt>
                <c:pt idx="361">
                  <c:v>-81.0070894339269</c:v>
                </c:pt>
                <c:pt idx="362">
                  <c:v>-81.6959343079168</c:v>
                </c:pt>
                <c:pt idx="363">
                  <c:v>-82.3808483596031</c:v>
                </c:pt>
                <c:pt idx="364">
                  <c:v>-83.0621074005266</c:v>
                </c:pt>
                <c:pt idx="365">
                  <c:v>-83.7399868878345</c:v>
                </c:pt>
                <c:pt idx="366">
                  <c:v>-84.4147617322262</c:v>
                </c:pt>
                <c:pt idx="367">
                  <c:v>-85.0867061094942</c:v>
                </c:pt>
                <c:pt idx="368">
                  <c:v>-85.7560932747366</c:v>
                </c:pt>
                <c:pt idx="369">
                  <c:v>-86.4231953783153</c:v>
                </c:pt>
                <c:pt idx="370">
                  <c:v>-87.088283282642</c:v>
                </c:pt>
                <c:pt idx="371">
                  <c:v>-87.7516263788817</c:v>
                </c:pt>
                <c:pt idx="372">
                  <c:v>-88.4134924026759</c:v>
                </c:pt>
                <c:pt idx="373">
                  <c:v>-89.0741472479965</c:v>
                </c:pt>
                <c:pt idx="374">
                  <c:v>-89.733854778263</c:v>
                </c:pt>
                <c:pt idx="375">
                  <c:v>-90.3928766338674</c:v>
                </c:pt>
                <c:pt idx="376">
                  <c:v>-91.0514720352784</c:v>
                </c:pt>
                <c:pt idx="377">
                  <c:v>-91.709897580918</c:v>
                </c:pt>
                <c:pt idx="378">
                  <c:v>-92.3684070390304</c:v>
                </c:pt>
                <c:pt idx="379">
                  <c:v>-93.0272511327969</c:v>
                </c:pt>
                <c:pt idx="380">
                  <c:v>-93.6866773179868</c:v>
                </c:pt>
                <c:pt idx="381">
                  <c:v>-94.3469295524674</c:v>
                </c:pt>
                <c:pt idx="382">
                  <c:v>-95.0082480569541</c:v>
                </c:pt>
                <c:pt idx="383">
                  <c:v>-95.670869066416</c:v>
                </c:pt>
                <c:pt idx="384">
                  <c:v>-96.3350245716197</c:v>
                </c:pt>
                <c:pt idx="385">
                  <c:v>-97.0009420503472</c:v>
                </c:pt>
                <c:pt idx="386">
                  <c:v>-97.6688441879018</c:v>
                </c:pt>
                <c:pt idx="387">
                  <c:v>-98.3389485865747</c:v>
                </c:pt>
                <c:pt idx="388">
                  <c:v>-99.0114674638451</c:v>
                </c:pt>
                <c:pt idx="389">
                  <c:v>-99.6866073391574</c:v>
                </c:pt>
                <c:pt idx="390">
                  <c:v>-100.364568709233</c:v>
                </c:pt>
                <c:pt idx="391">
                  <c:v>-101.045545711965</c:v>
                </c:pt>
                <c:pt idx="392">
                  <c:v>-101.729725779063</c:v>
                </c:pt>
                <c:pt idx="393">
                  <c:v>-102.417289277744</c:v>
                </c:pt>
                <c:pt idx="394">
                  <c:v>-103.108409141869</c:v>
                </c:pt>
                <c:pt idx="395">
                  <c:v>-103.803250493103</c:v>
                </c:pt>
                <c:pt idx="396">
                  <c:v>-104.501970252774</c:v>
                </c:pt>
                <c:pt idx="397">
                  <c:v>-105.204716745294</c:v>
                </c:pt>
                <c:pt idx="398">
                  <c:v>-105.911629294156</c:v>
                </c:pt>
                <c:pt idx="399">
                  <c:v>-106.622837811659</c:v>
                </c:pt>
                <c:pt idx="400">
                  <c:v>-107.338462383727</c:v>
                </c:pt>
                <c:pt idx="401">
                  <c:v>-108.058612851309</c:v>
                </c:pt>
                <c:pt idx="402">
                  <c:v>-108.783388390075</c:v>
                </c:pt>
                <c:pt idx="403">
                  <c:v>-109.512877090236</c:v>
                </c:pt>
                <c:pt idx="404">
                  <c:v>-110.247155538543</c:v>
                </c:pt>
                <c:pt idx="405">
                  <c:v>-110.986288404649</c:v>
                </c:pt>
                <c:pt idx="406">
                  <c:v>-111.730328034204</c:v>
                </c:pt>
                <c:pt idx="407">
                  <c:v>-112.47931405118</c:v>
                </c:pt>
                <c:pt idx="408">
                  <c:v>-113.233272972092</c:v>
                </c:pt>
                <c:pt idx="409">
                  <c:v>-113.992217834876</c:v>
                </c:pt>
                <c:pt idx="410">
                  <c:v>-114.756147845309</c:v>
                </c:pt>
                <c:pt idx="411">
                  <c:v>-115.525048043949</c:v>
                </c:pt>
                <c:pt idx="412">
                  <c:v>-116.298888996609</c:v>
                </c:pt>
                <c:pt idx="413">
                  <c:v>-117.077626511431</c:v>
                </c:pt>
                <c:pt idx="414">
                  <c:v>-117.86120138564</c:v>
                </c:pt>
                <c:pt idx="415">
                  <c:v>-118.649539184997</c:v>
                </c:pt>
                <c:pt idx="416">
                  <c:v>-119.442550058951</c:v>
                </c:pt>
                <c:pt idx="417">
                  <c:v>-120.240128594341</c:v>
                </c:pt>
                <c:pt idx="418">
                  <c:v>-121.042153710408</c:v>
                </c:pt>
                <c:pt idx="419">
                  <c:v>-121.848488597672</c:v>
                </c:pt>
                <c:pt idx="420">
                  <c:v>-122.658980703008</c:v>
                </c:pt>
                <c:pt idx="421">
                  <c:v>-123.473461763036</c:v>
                </c:pt>
                <c:pt idx="422">
                  <c:v>-124.291747887608</c:v>
                </c:pt>
                <c:pt idx="423">
                  <c:v>-125.113639694872</c:v>
                </c:pt>
                <c:pt idx="424">
                  <c:v>-125.938922499035</c:v>
                </c:pt>
                <c:pt idx="425">
                  <c:v>-126.767366551547</c:v>
                </c:pt>
                <c:pt idx="426">
                  <c:v>-127.598727336048</c:v>
                </c:pt>
                <c:pt idx="427">
                  <c:v>-128.432745916955</c:v>
                </c:pt>
                <c:pt idx="428">
                  <c:v>-129.269149341174</c:v>
                </c:pt>
                <c:pt idx="429">
                  <c:v>-130.107651091943</c:v>
                </c:pt>
                <c:pt idx="430">
                  <c:v>-130.947951593407</c:v>
                </c:pt>
                <c:pt idx="431">
                  <c:v>-131.789738764074</c:v>
                </c:pt>
                <c:pt idx="432">
                  <c:v>-132.63268861691</c:v>
                </c:pt>
                <c:pt idx="433">
                  <c:v>-133.476465903447</c:v>
                </c:pt>
                <c:pt idx="434">
                  <c:v>-134.320724798931</c:v>
                </c:pt>
                <c:pt idx="435">
                  <c:v>-135.165109625219</c:v>
                </c:pt>
                <c:pt idx="436">
                  <c:v>-136.009255607894</c:v>
                </c:pt>
                <c:pt idx="437">
                  <c:v>-136.852789663849</c:v>
                </c:pt>
                <c:pt idx="438">
                  <c:v>-137.695331215433</c:v>
                </c:pt>
                <c:pt idx="439">
                  <c:v>-138.536493027175</c:v>
                </c:pt>
                <c:pt idx="440">
                  <c:v>-139.375882061052</c:v>
                </c:pt>
                <c:pt idx="441">
                  <c:v>-140.213100346319</c:v>
                </c:pt>
                <c:pt idx="442">
                  <c:v>-141.04774585998</c:v>
                </c:pt>
                <c:pt idx="443">
                  <c:v>-141.879413414148</c:v>
                </c:pt>
                <c:pt idx="444">
                  <c:v>-142.707695546717</c:v>
                </c:pt>
                <c:pt idx="445">
                  <c:v>-143.532183412026</c:v>
                </c:pt>
                <c:pt idx="446">
                  <c:v>-144.352467668472</c:v>
                </c:pt>
                <c:pt idx="447">
                  <c:v>-145.168139360322</c:v>
                </c:pt>
                <c:pt idx="448">
                  <c:v>-145.978790791337</c:v>
                </c:pt>
                <c:pt idx="449">
                  <c:v>-146.784016388125</c:v>
                </c:pt>
                <c:pt idx="450">
                  <c:v>-147.583413551522</c:v>
                </c:pt>
                <c:pt idx="451">
                  <c:v>-148.376583494594</c:v>
                </c:pt>
                <c:pt idx="452">
                  <c:v>-149.163132066204</c:v>
                </c:pt>
                <c:pt idx="453">
                  <c:v>-149.942670559347</c:v>
                </c:pt>
                <c:pt idx="454">
                  <c:v>-150.714816503712</c:v>
                </c:pt>
                <c:pt idx="455">
                  <c:v>-151.47919444214</c:v>
                </c:pt>
                <c:pt idx="456">
                  <c:v>-152.235436690779</c:v>
                </c:pt>
                <c:pt idx="457">
                  <c:v>-152.983184082849</c:v>
                </c:pt>
                <c:pt idx="458">
                  <c:v>-153.722086695954</c:v>
                </c:pt>
                <c:pt idx="459">
                  <c:v>-154.451804562856</c:v>
                </c:pt>
                <c:pt idx="460">
                  <c:v>-155.172008365517</c:v>
                </c:pt>
                <c:pt idx="461">
                  <c:v>-155.882380112119</c:v>
                </c:pt>
                <c:pt idx="462">
                  <c:v>-156.582613796503</c:v>
                </c:pt>
                <c:pt idx="463">
                  <c:v>-157.272416039286</c:v>
                </c:pt>
                <c:pt idx="464">
                  <c:v>-157.951506709584</c:v>
                </c:pt>
                <c:pt idx="465">
                  <c:v>-158.619619525975</c:v>
                </c:pt>
                <c:pt idx="466">
                  <c:v>-159.276502634985</c:v>
                </c:pt>
                <c:pt idx="467">
                  <c:v>-159.921919165051</c:v>
                </c:pt>
                <c:pt idx="468">
                  <c:v>-160.555647753556</c:v>
                </c:pt>
                <c:pt idx="469">
                  <c:v>-161.177483044231</c:v>
                </c:pt>
                <c:pt idx="470">
                  <c:v>-161.787236151892</c:v>
                </c:pt>
                <c:pt idx="471">
                  <c:v>-162.384735091258</c:v>
                </c:pt>
                <c:pt idx="472">
                  <c:v>-162.969825166376</c:v>
                </c:pt>
                <c:pt idx="473">
                  <c:v>-163.54236931705</c:v>
                </c:pt>
                <c:pt idx="474">
                  <c:v>-164.102248418592</c:v>
                </c:pt>
                <c:pt idx="475">
                  <c:v>-164.649361531236</c:v>
                </c:pt>
                <c:pt idx="476">
                  <c:v>-165.183626095639</c:v>
                </c:pt>
                <c:pt idx="477">
                  <c:v>-165.704978071085</c:v>
                </c:pt>
                <c:pt idx="478">
                  <c:v>-166.213372013252</c:v>
                </c:pt>
                <c:pt idx="479">
                  <c:v>-166.70878108877</c:v>
                </c:pt>
                <c:pt idx="480">
                  <c:v>-167.191197024217</c:v>
                </c:pt>
                <c:pt idx="481">
                  <c:v>-167.6606299877</c:v>
                </c:pt>
                <c:pt idx="482">
                  <c:v>-168.117108401742</c:v>
                </c:pt>
                <c:pt idx="483">
                  <c:v>-168.560678686809</c:v>
                </c:pt>
                <c:pt idx="484">
                  <c:v>-168.991404935464</c:v>
                </c:pt>
                <c:pt idx="485">
                  <c:v>-169.409368517859</c:v>
                </c:pt>
                <c:pt idx="486">
                  <c:v>-169.814667619944</c:v>
                </c:pt>
                <c:pt idx="487">
                  <c:v>-170.207416716495</c:v>
                </c:pt>
                <c:pt idx="488">
                  <c:v>-170.587745981772</c:v>
                </c:pt>
                <c:pt idx="489">
                  <c:v>-170.955800641252</c:v>
                </c:pt>
                <c:pt idx="490">
                  <c:v>-171.311740268528</c:v>
                </c:pt>
                <c:pt idx="491">
                  <c:v>-171.655738032039</c:v>
                </c:pt>
                <c:pt idx="492">
                  <c:v>-171.987979896773</c:v>
                </c:pt>
                <c:pt idx="493">
                  <c:v>-172.308663786559</c:v>
                </c:pt>
                <c:pt idx="494">
                  <c:v>-172.617998712887</c:v>
                </c:pt>
                <c:pt idx="495">
                  <c:v>-172.916203876466</c:v>
                </c:pt>
                <c:pt idx="496">
                  <c:v>-173.203507747918</c:v>
                </c:pt>
                <c:pt idx="497">
                  <c:v>-173.480147134088</c:v>
                </c:pt>
                <c:pt idx="498">
                  <c:v>-173.746366236446</c:v>
                </c:pt>
                <c:pt idx="499">
                  <c:v>-174.002415707968</c:v>
                </c:pt>
                <c:pt idx="500">
                  <c:v>-174.248551714723</c:v>
                </c:pt>
                <c:pt idx="501">
                  <c:v>-174.485035008135</c:v>
                </c:pt>
                <c:pt idx="502">
                  <c:v>-174.712130013597</c:v>
                </c:pt>
                <c:pt idx="503">
                  <c:v>-174.9301039407</c:v>
                </c:pt>
                <c:pt idx="504">
                  <c:v>-175.139225919978</c:v>
                </c:pt>
                <c:pt idx="505">
                  <c:v>-175.339766170543</c:v>
                </c:pt>
                <c:pt idx="506">
                  <c:v>-175.531995202538</c:v>
                </c:pt>
                <c:pt idx="507">
                  <c:v>-175.716183057782</c:v>
                </c:pt>
                <c:pt idx="508">
                  <c:v>-175.892598591488</c:v>
                </c:pt>
                <c:pt idx="509">
                  <c:v>-176.061508797383</c:v>
                </c:pt>
                <c:pt idx="510">
                  <c:v>-176.223178178025</c:v>
                </c:pt>
                <c:pt idx="511">
                  <c:v>-176.377868161638</c:v>
                </c:pt>
                <c:pt idx="512">
                  <c:v>-176.525836566261</c:v>
                </c:pt>
                <c:pt idx="513">
                  <c:v>-176.667337111551</c:v>
                </c:pt>
                <c:pt idx="514">
                  <c:v>-176.802618978163</c:v>
                </c:pt>
                <c:pt idx="515">
                  <c:v>-176.9319264142</c:v>
                </c:pt>
                <c:pt idx="516">
                  <c:v>-177.0554983879</c:v>
                </c:pt>
                <c:pt idx="517">
                  <c:v>-177.173568285369</c:v>
                </c:pt>
                <c:pt idx="518">
                  <c:v>-177.286363651921</c:v>
                </c:pt>
                <c:pt idx="519">
                  <c:v>-177.394105975307</c:v>
                </c:pt>
                <c:pt idx="520">
                  <c:v>-177.497010508955</c:v>
                </c:pt>
                <c:pt idx="521">
                  <c:v>-177.595286133137</c:v>
                </c:pt>
                <c:pt idx="522">
                  <c:v>-177.689135251882</c:v>
                </c:pt>
                <c:pt idx="523">
                  <c:v>-177.778753723355</c:v>
                </c:pt>
                <c:pt idx="524">
                  <c:v>-177.864330821354</c:v>
                </c:pt>
                <c:pt idx="525">
                  <c:v>-177.946049225558</c:v>
                </c:pt>
                <c:pt idx="526">
                  <c:v>-178.024085038156</c:v>
                </c:pt>
                <c:pt idx="527">
                  <c:v>-178.098607824491</c:v>
                </c:pt>
                <c:pt idx="528">
                  <c:v>-178.16978067543</c:v>
                </c:pt>
                <c:pt idx="529">
                  <c:v>-178.237760289189</c:v>
                </c:pt>
                <c:pt idx="530">
                  <c:v>-178.302697070458</c:v>
                </c:pt>
                <c:pt idx="531">
                  <c:v>-178.364735244728</c:v>
                </c:pt>
                <c:pt idx="532">
                  <c:v>-178.424012985836</c:v>
                </c:pt>
                <c:pt idx="533">
                  <c:v>-178.480662554848</c:v>
                </c:pt>
                <c:pt idx="534">
                  <c:v>-178.534810448515</c:v>
                </c:pt>
                <c:pt idx="535">
                  <c:v>-178.586577555635</c:v>
                </c:pt>
                <c:pt idx="536">
                  <c:v>-178.636079319797</c:v>
                </c:pt>
                <c:pt idx="537">
                  <c:v>-178.683425907076</c:v>
                </c:pt>
                <c:pt idx="538">
                  <c:v>-178.728722377382</c:v>
                </c:pt>
                <c:pt idx="539">
                  <c:v>-178.772068858265</c:v>
                </c:pt>
                <c:pt idx="540">
                  <c:v>-178.813560720103</c:v>
                </c:pt>
                <c:pt idx="541">
                  <c:v>-178.853288751704</c:v>
                </c:pt>
              </c:numCache>
            </c:numRef>
          </c:yVal>
          <c:smooth val="1"/>
        </c:ser>
        <c:dLbls>
          <c:showLegendKey val="0"/>
          <c:showVal val="0"/>
          <c:showCatName val="0"/>
          <c:showSerName val="0"/>
          <c:showPercent val="0"/>
          <c:showBubbleSize val="0"/>
        </c:dLbls>
        <c:axId val="175150592"/>
        <c:axId val="175127936"/>
      </c:scatterChart>
      <c:valAx>
        <c:axId val="174189952"/>
        <c:scaling>
          <c:logBase val="10"/>
          <c:orientation val="minMax"/>
          <c:max val="20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crossAx val="175126016"/>
        <c:crosses val="autoZero"/>
        <c:crossBetween val="midCat"/>
      </c:valAx>
      <c:valAx>
        <c:axId val="17512601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1" i="0" u="none" strike="noStrike" kern="1200" baseline="0">
                <a:solidFill>
                  <a:srgbClr val="FF0000"/>
                </a:solidFill>
                <a:latin typeface="+mn-lt"/>
                <a:ea typeface="+mn-ea"/>
                <a:cs typeface="+mn-cs"/>
              </a:defRPr>
            </a:pPr>
          </a:p>
        </c:txPr>
        <c:crossAx val="174189952"/>
        <c:crosses val="autoZero"/>
        <c:crossBetween val="midCat"/>
        <c:majorUnit val="20"/>
        <c:minorUnit val="10"/>
      </c:valAx>
      <c:valAx>
        <c:axId val="175150592"/>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127936"/>
        <c:crosses val="autoZero"/>
        <c:crossBetween val="midCat"/>
      </c:valAx>
      <c:valAx>
        <c:axId val="175127936"/>
        <c:scaling>
          <c:orientation val="minMax"/>
          <c:max val="180"/>
          <c:min val="-180"/>
        </c:scaling>
        <c:delete val="0"/>
        <c:axPos val="r"/>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Phase (deg)</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1" i="0" u="none" strike="noStrike" kern="1200" baseline="0">
                <a:solidFill>
                  <a:schemeClr val="tx1">
                    <a:lumMod val="95000"/>
                    <a:lumOff val="5000"/>
                  </a:schemeClr>
                </a:solidFill>
                <a:latin typeface="+mn-lt"/>
                <a:ea typeface="+mn-ea"/>
                <a:cs typeface="+mn-cs"/>
              </a:defRPr>
            </a:pPr>
          </a:p>
        </c:txPr>
        <c:crossAx val="175150592"/>
        <c:crosses val="max"/>
        <c:crossBetween val="midCat"/>
        <c:majorUnit val="90"/>
        <c:minorUnit val="45"/>
      </c:valAx>
    </c:plotArea>
    <c:legend>
      <c:legendPos val="r"/>
      <c:legendEntry>
        <c:idx val="1"/>
        <c:delete val="1"/>
      </c:legendEntry>
      <c:legendEntry>
        <c:idx val="2"/>
        <c:delete val="1"/>
      </c:legendEntry>
      <c:legendEntry>
        <c:idx val="3"/>
        <c:delete val="1"/>
      </c:legendEntry>
      <c:legendEntry>
        <c:idx val="4"/>
        <c:delete val="1"/>
      </c:legendEntry>
      <c:legendEntry>
        <c:idx val="5"/>
        <c:delete val="1"/>
      </c:legendEntry>
      <c:layout>
        <c:manualLayout>
          <c:xMode val="edge"/>
          <c:yMode val="edge"/>
          <c:x val="0.613925365103712"/>
          <c:y val="0.00703810127999403"/>
          <c:w val="0.284975005846066"/>
          <c:h val="0.0796438656068465"/>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4a1fb8a-f823-47d5-a6fb-4a0156a917a1}"/>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Eff_vs_IOUT!$AT$7:$AT$157</c:f>
              <c:numCache>
                <c:formatCode>General</c:formatCode>
                <c:ptCount val="151"/>
                <c:pt idx="0">
                  <c:v>0</c:v>
                </c:pt>
                <c:pt idx="1">
                  <c:v>49.5667680831775</c:v>
                </c:pt>
                <c:pt idx="2">
                  <c:v>63.7182433104541</c:v>
                </c:pt>
                <c:pt idx="3">
                  <c:v>70.2177753497464</c:v>
                </c:pt>
                <c:pt idx="4">
                  <c:v>73.8210853140805</c:v>
                </c:pt>
                <c:pt idx="5">
                  <c:v>77.6040434474592</c:v>
                </c:pt>
                <c:pt idx="6">
                  <c:v>79.4308690691935</c:v>
                </c:pt>
                <c:pt idx="7">
                  <c:v>80.7698824929552</c:v>
                </c:pt>
                <c:pt idx="8">
                  <c:v>81.7867252372144</c:v>
                </c:pt>
                <c:pt idx="9">
                  <c:v>82.5796900122204</c:v>
                </c:pt>
                <c:pt idx="10">
                  <c:v>83.2107918146716</c:v>
                </c:pt>
                <c:pt idx="11">
                  <c:v>83.7210906834813</c:v>
                </c:pt>
                <c:pt idx="12">
                  <c:v>84.1388530934995</c:v>
                </c:pt>
                <c:pt idx="13">
                  <c:v>84.4841746245643</c:v>
                </c:pt>
                <c:pt idx="14">
                  <c:v>84.7717333568283</c:v>
                </c:pt>
                <c:pt idx="15">
                  <c:v>85.0125001721192</c:v>
                </c:pt>
                <c:pt idx="16">
                  <c:v>85.2148396066742</c:v>
                </c:pt>
                <c:pt idx="17">
                  <c:v>85.3852404174199</c:v>
                </c:pt>
                <c:pt idx="18">
                  <c:v>85.5288134573491</c:v>
                </c:pt>
                <c:pt idx="19">
                  <c:v>85.6496389674716</c:v>
                </c:pt>
                <c:pt idx="20">
                  <c:v>85.7510138703906</c:v>
                </c:pt>
                <c:pt idx="21">
                  <c:v>85.8356311194102</c:v>
                </c:pt>
                <c:pt idx="22">
                  <c:v>85.905711928742</c:v>
                </c:pt>
                <c:pt idx="23">
                  <c:v>85.9631047213018</c:v>
                </c:pt>
                <c:pt idx="24">
                  <c:v>86.0093601740081</c:v>
                </c:pt>
                <c:pt idx="25">
                  <c:v>86.0457888362531</c:v>
                </c:pt>
                <c:pt idx="26">
                  <c:v>86.0735058669109</c:v>
                </c:pt>
                <c:pt idx="27">
                  <c:v>86.0934661290042</c:v>
                </c:pt>
                <c:pt idx="28">
                  <c:v>86.1064919825793</c:v>
                </c:pt>
                <c:pt idx="29">
                  <c:v>86.1132954887973</c:v>
                </c:pt>
                <c:pt idx="30">
                  <c:v>86.1144962938627</c:v>
                </c:pt>
                <c:pt idx="31">
                  <c:v>86.1106361426357</c:v>
                </c:pt>
                <c:pt idx="32">
                  <c:v>86.1021907403754</c:v>
                </c:pt>
                <c:pt idx="33">
                  <c:v>86.0895795112025</c:v>
                </c:pt>
                <c:pt idx="34">
                  <c:v>86.0731736758949</c:v>
                </c:pt>
                <c:pt idx="35">
                  <c:v>86.0533029772928</c:v>
                </c:pt>
                <c:pt idx="36">
                  <c:v>86.0302613102951</c:v>
                </c:pt>
                <c:pt idx="37">
                  <c:v>86.0043114590992</c:v>
                </c:pt>
                <c:pt idx="38">
                  <c:v>85.9756891025907</c:v>
                </c:pt>
                <c:pt idx="39">
                  <c:v>85.9446062164783</c:v>
                </c:pt>
                <c:pt idx="40">
                  <c:v>85.9112539755778</c:v>
                </c:pt>
                <c:pt idx="41">
                  <c:v>85.8758052398757</c:v>
                </c:pt>
                <c:pt idx="42">
                  <c:v>85.8384166923874</c:v>
                </c:pt>
                <c:pt idx="43">
                  <c:v>85.7992306844089</c:v>
                </c:pt>
                <c:pt idx="44">
                  <c:v>85.7583768338449</c:v>
                </c:pt>
                <c:pt idx="45">
                  <c:v>85.7159734143216</c:v>
                </c:pt>
                <c:pt idx="46">
                  <c:v>85.6721285663501</c:v>
                </c:pt>
                <c:pt idx="47">
                  <c:v>85.6269413565811</c:v>
                </c:pt>
                <c:pt idx="48">
                  <c:v>85.5805027069239</c:v>
                </c:pt>
                <c:pt idx="49">
                  <c:v>85.5328962118068</c:v>
                </c:pt>
                <c:pt idx="50">
                  <c:v>85.4841988589822</c:v>
                </c:pt>
                <c:pt idx="51">
                  <c:v>85.4344816669014</c:v>
                </c:pt>
                <c:pt idx="52">
                  <c:v>85.3838102497111</c:v>
                </c:pt>
                <c:pt idx="53">
                  <c:v>85.332245319283</c:v>
                </c:pt>
                <c:pt idx="54">
                  <c:v>85.2798431323138</c:v>
                </c:pt>
                <c:pt idx="55">
                  <c:v>85.2266558893823</c:v>
                </c:pt>
                <c:pt idx="56">
                  <c:v>85.1727320918793</c:v>
                </c:pt>
                <c:pt idx="57">
                  <c:v>85.1181168619104</c:v>
                </c:pt>
                <c:pt idx="58">
                  <c:v>85.0628522295756</c:v>
                </c:pt>
                <c:pt idx="59">
                  <c:v>85.0069773914424</c:v>
                </c:pt>
                <c:pt idx="60">
                  <c:v>84.9505289435275</c:v>
                </c:pt>
                <c:pt idx="61">
                  <c:v>84.8935410916713</c:v>
                </c:pt>
                <c:pt idx="62">
                  <c:v>84.836045841826</c:v>
                </c:pt>
                <c:pt idx="63">
                  <c:v>84.7780731724563</c:v>
                </c:pt>
                <c:pt idx="64">
                  <c:v>84.7196511909881</c:v>
                </c:pt>
                <c:pt idx="65">
                  <c:v>84.6608062759969</c:v>
                </c:pt>
                <c:pt idx="66">
                  <c:v>84.6015632066335</c:v>
                </c:pt>
                <c:pt idx="67">
                  <c:v>84.5419452806003</c:v>
                </c:pt>
                <c:pt idx="68">
                  <c:v>84.4819744218453</c:v>
                </c:pt>
                <c:pt idx="69">
                  <c:v>84.4216712790029</c:v>
                </c:pt>
                <c:pt idx="70">
                  <c:v>84.3610553154959</c:v>
                </c:pt>
                <c:pt idx="71">
                  <c:v>84.3001448921123</c:v>
                </c:pt>
                <c:pt idx="72">
                  <c:v>84.2389573427792</c:v>
                </c:pt>
                <c:pt idx="73">
                  <c:v>84.177509044178</c:v>
                </c:pt>
                <c:pt idx="74">
                  <c:v>84.1158154797796</c:v>
                </c:pt>
                <c:pt idx="75">
                  <c:v>84.0538912988117</c:v>
                </c:pt>
                <c:pt idx="76">
                  <c:v>83.9917503706214</c:v>
                </c:pt>
                <c:pt idx="77">
                  <c:v>83.9294058348469</c:v>
                </c:pt>
                <c:pt idx="78">
                  <c:v>83.8668701477713</c:v>
                </c:pt>
                <c:pt idx="79">
                  <c:v>83.8041551251909</c:v>
                </c:pt>
                <c:pt idx="80">
                  <c:v>83.7412719821025</c:v>
                </c:pt>
                <c:pt idx="81">
                  <c:v>83.6782313694806</c:v>
                </c:pt>
                <c:pt idx="82">
                  <c:v>83.6150434083894</c:v>
                </c:pt>
                <c:pt idx="83">
                  <c:v>83.5517177216544</c:v>
                </c:pt>
                <c:pt idx="84">
                  <c:v>83.4882634632931</c:v>
                </c:pt>
                <c:pt idx="85">
                  <c:v>83.4246893458881</c:v>
                </c:pt>
                <c:pt idx="86">
                  <c:v>83.3610036660688</c:v>
                </c:pt>
                <c:pt idx="87">
                  <c:v>83.2972143282522</c:v>
                </c:pt>
                <c:pt idx="88">
                  <c:v>83.2333288667795</c:v>
                </c:pt>
                <c:pt idx="89">
                  <c:v>83.1693544665746</c:v>
                </c:pt>
                <c:pt idx="90">
                  <c:v>83.1052979824371</c:v>
                </c:pt>
                <c:pt idx="91">
                  <c:v>83.0411659570752</c:v>
                </c:pt>
                <c:pt idx="92">
                  <c:v>82.976964637972</c:v>
                </c:pt>
                <c:pt idx="93">
                  <c:v>82.912699993174</c:v>
                </c:pt>
                <c:pt idx="94">
                  <c:v>82.8483777260797</c:v>
                </c:pt>
                <c:pt idx="95">
                  <c:v>82.7840032893026</c:v>
                </c:pt>
                <c:pt idx="96">
                  <c:v>82.7195818976744</c:v>
                </c:pt>
                <c:pt idx="97">
                  <c:v>82.6551185404508</c:v>
                </c:pt>
                <c:pt idx="98">
                  <c:v>82.5906179927764</c:v>
                </c:pt>
                <c:pt idx="99">
                  <c:v>82.5260848264598</c:v>
                </c:pt>
                <c:pt idx="100">
                  <c:v>82.4615234201071</c:v>
                </c:pt>
                <c:pt idx="101">
                  <c:v>82.396937968659</c:v>
                </c:pt>
                <c:pt idx="102">
                  <c:v>82.3323324923704</c:v>
                </c:pt>
                <c:pt idx="103">
                  <c:v>82.2677108452713</c:v>
                </c:pt>
                <c:pt idx="104">
                  <c:v>82.2030767231427</c:v>
                </c:pt>
                <c:pt idx="105">
                  <c:v>82.138433671041</c:v>
                </c:pt>
                <c:pt idx="106">
                  <c:v>82.0737850903986</c:v>
                </c:pt>
                <c:pt idx="107">
                  <c:v>82.0091342457297</c:v>
                </c:pt>
                <c:pt idx="108">
                  <c:v>81.9444842709665</c:v>
                </c:pt>
                <c:pt idx="109">
                  <c:v>81.8798381754482</c:v>
                </c:pt>
                <c:pt idx="110">
                  <c:v>81.8151988495861</c:v>
                </c:pt>
                <c:pt idx="111">
                  <c:v>81.7505690702249</c:v>
                </c:pt>
                <c:pt idx="112">
                  <c:v>81.6859515057176</c:v>
                </c:pt>
                <c:pt idx="113">
                  <c:v>81.621348720734</c:v>
                </c:pt>
                <c:pt idx="114">
                  <c:v>81.5567631808167</c:v>
                </c:pt>
                <c:pt idx="115">
                  <c:v>81.4921972567016</c:v>
                </c:pt>
                <c:pt idx="116">
                  <c:v>81.4276532284158</c:v>
                </c:pt>
                <c:pt idx="117">
                  <c:v>81.363133289167</c:v>
                </c:pt>
                <c:pt idx="118">
                  <c:v>81.2986395490362</c:v>
                </c:pt>
                <c:pt idx="119">
                  <c:v>81.2341740384854</c:v>
                </c:pt>
                <c:pt idx="120">
                  <c:v>81.1697387116905</c:v>
                </c:pt>
                <c:pt idx="121">
                  <c:v>81.1053354497107</c:v>
                </c:pt>
                <c:pt idx="122">
                  <c:v>81.0409660635022</c:v>
                </c:pt>
                <c:pt idx="123">
                  <c:v>80.9766322967856</c:v>
                </c:pt>
                <c:pt idx="124">
                  <c:v>80.9123358287762</c:v>
                </c:pt>
                <c:pt idx="125">
                  <c:v>80.848078276783</c:v>
                </c:pt>
                <c:pt idx="126">
                  <c:v>80.7838611986847</c:v>
                </c:pt>
                <c:pt idx="127">
                  <c:v>80.71968609529</c:v>
                </c:pt>
                <c:pt idx="128">
                  <c:v>80.6555544125871</c:v>
                </c:pt>
                <c:pt idx="129">
                  <c:v>80.5914675438892</c:v>
                </c:pt>
                <c:pt idx="130">
                  <c:v>80.5274268318817</c:v>
                </c:pt>
                <c:pt idx="131">
                  <c:v>80.4634335705756</c:v>
                </c:pt>
                <c:pt idx="132">
                  <c:v>80.3994890071733</c:v>
                </c:pt>
                <c:pt idx="133">
                  <c:v>80.3355943438496</c:v>
                </c:pt>
                <c:pt idx="134">
                  <c:v>80.2717507394541</c:v>
                </c:pt>
                <c:pt idx="135">
                  <c:v>80.2079593111376</c:v>
                </c:pt>
                <c:pt idx="136">
                  <c:v>80.1442211359077</c:v>
                </c:pt>
                <c:pt idx="137">
                  <c:v>80.0805372521159</c:v>
                </c:pt>
                <c:pt idx="138">
                  <c:v>80.0169086608804</c:v>
                </c:pt>
                <c:pt idx="139">
                  <c:v>79.9533363274484</c:v>
                </c:pt>
                <c:pt idx="140">
                  <c:v>79.8898211824991</c:v>
                </c:pt>
                <c:pt idx="141">
                  <c:v>79.8263641233923</c:v>
                </c:pt>
                <c:pt idx="142">
                  <c:v>79.7629660153638</c:v>
                </c:pt>
                <c:pt idx="143">
                  <c:v>79.6996276926715</c:v>
                </c:pt>
                <c:pt idx="144">
                  <c:v>79.636349959693</c:v>
                </c:pt>
                <c:pt idx="145">
                  <c:v>79.5731335919786</c:v>
                </c:pt>
                <c:pt idx="146">
                  <c:v>79.5099793372609</c:v>
                </c:pt>
                <c:pt idx="147">
                  <c:v>79.4468879164233</c:v>
                </c:pt>
                <c:pt idx="148">
                  <c:v>79.383860024429</c:v>
                </c:pt>
                <c:pt idx="149">
                  <c:v>79.3208963312133</c:v>
                </c:pt>
                <c:pt idx="150">
                  <c:v>79.2579974825398</c:v>
                </c:pt>
              </c:numCache>
            </c:numRef>
          </c:yVal>
          <c:smooth val="0"/>
        </c:ser>
        <c:dLbls>
          <c:showLegendKey val="0"/>
          <c:showVal val="0"/>
          <c:showCatName val="0"/>
          <c:showSerName val="0"/>
          <c:showPercent val="0"/>
          <c:showBubbleSize val="0"/>
        </c:dLbls>
        <c:axId val="174861312"/>
        <c:axId val="174875392"/>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Eff_vs_IOUT!$AI$7:$AI$157</c:f>
              <c:numCache>
                <c:formatCode>General</c:formatCode>
                <c:ptCount val="151"/>
                <c:pt idx="0">
                  <c:v>0</c:v>
                </c:pt>
                <c:pt idx="1">
                  <c:v>0.0057086855717466</c:v>
                </c:pt>
                <c:pt idx="2">
                  <c:v>0.0124459314702256</c:v>
                </c:pt>
                <c:pt idx="3">
                  <c:v>0.0201644751176161</c:v>
                </c:pt>
                <c:pt idx="4">
                  <c:v>0.0288813920025693</c:v>
                </c:pt>
                <c:pt idx="5">
                  <c:v>0.0278681914873554</c:v>
                </c:pt>
                <c:pt idx="6">
                  <c:v>0.0337604238891349</c:v>
                </c:pt>
                <c:pt idx="7">
                  <c:v>0.039819322957581</c:v>
                </c:pt>
                <c:pt idx="8">
                  <c:v>0.0460448886926938</c:v>
                </c:pt>
                <c:pt idx="9">
                  <c:v>0.0524371210944733</c:v>
                </c:pt>
                <c:pt idx="10">
                  <c:v>0.0589960201629194</c:v>
                </c:pt>
                <c:pt idx="11">
                  <c:v>0.0657215858980322</c:v>
                </c:pt>
                <c:pt idx="12">
                  <c:v>0.0726138182998117</c:v>
                </c:pt>
                <c:pt idx="13">
                  <c:v>0.0796727173682578</c:v>
                </c:pt>
                <c:pt idx="14">
                  <c:v>0.0868982831033706</c:v>
                </c:pt>
                <c:pt idx="15">
                  <c:v>0.0942905155051501</c:v>
                </c:pt>
                <c:pt idx="16">
                  <c:v>0.101849414573596</c:v>
                </c:pt>
                <c:pt idx="17">
                  <c:v>0.109574980308709</c:v>
                </c:pt>
                <c:pt idx="18">
                  <c:v>0.117467212710489</c:v>
                </c:pt>
                <c:pt idx="19">
                  <c:v>0.125526111778935</c:v>
                </c:pt>
                <c:pt idx="20">
                  <c:v>0.133751677514047</c:v>
                </c:pt>
                <c:pt idx="21">
                  <c:v>0.142143909915827</c:v>
                </c:pt>
                <c:pt idx="22">
                  <c:v>0.150702808984273</c:v>
                </c:pt>
                <c:pt idx="23">
                  <c:v>0.159428374719386</c:v>
                </c:pt>
                <c:pt idx="24">
                  <c:v>0.168320607121165</c:v>
                </c:pt>
                <c:pt idx="25">
                  <c:v>0.177379506189611</c:v>
                </c:pt>
                <c:pt idx="26">
                  <c:v>0.186605071924724</c:v>
                </c:pt>
                <c:pt idx="27">
                  <c:v>0.195997304326504</c:v>
                </c:pt>
                <c:pt idx="28">
                  <c:v>0.20555620339495</c:v>
                </c:pt>
                <c:pt idx="29">
                  <c:v>0.215281769130063</c:v>
                </c:pt>
                <c:pt idx="30">
                  <c:v>0.225174001531842</c:v>
                </c:pt>
                <c:pt idx="31">
                  <c:v>0.235232900600288</c:v>
                </c:pt>
                <c:pt idx="32">
                  <c:v>0.245458466335401</c:v>
                </c:pt>
                <c:pt idx="33">
                  <c:v>0.255850698737181</c:v>
                </c:pt>
                <c:pt idx="34">
                  <c:v>0.266409597805627</c:v>
                </c:pt>
                <c:pt idx="35">
                  <c:v>0.27713516354074</c:v>
                </c:pt>
                <c:pt idx="36">
                  <c:v>0.288027395942519</c:v>
                </c:pt>
                <c:pt idx="37">
                  <c:v>0.299086295010965</c:v>
                </c:pt>
                <c:pt idx="38">
                  <c:v>0.310311860746078</c:v>
                </c:pt>
                <c:pt idx="39">
                  <c:v>0.321704093147857</c:v>
                </c:pt>
                <c:pt idx="40">
                  <c:v>0.333262992216304</c:v>
                </c:pt>
                <c:pt idx="41">
                  <c:v>0.344988557951416</c:v>
                </c:pt>
                <c:pt idx="42">
                  <c:v>0.356880790353196</c:v>
                </c:pt>
                <c:pt idx="43">
                  <c:v>0.368939689421642</c:v>
                </c:pt>
                <c:pt idx="44">
                  <c:v>0.381165255156755</c:v>
                </c:pt>
                <c:pt idx="45">
                  <c:v>0.393557487558534</c:v>
                </c:pt>
                <c:pt idx="46">
                  <c:v>0.40611638662698</c:v>
                </c:pt>
                <c:pt idx="47">
                  <c:v>0.418841952362093</c:v>
                </c:pt>
                <c:pt idx="48">
                  <c:v>0.431734184763873</c:v>
                </c:pt>
                <c:pt idx="49">
                  <c:v>0.444793083832319</c:v>
                </c:pt>
                <c:pt idx="50">
                  <c:v>0.458018649567432</c:v>
                </c:pt>
                <c:pt idx="51">
                  <c:v>0.471410881969211</c:v>
                </c:pt>
                <c:pt idx="52">
                  <c:v>0.484969781037657</c:v>
                </c:pt>
                <c:pt idx="53">
                  <c:v>0.49869534677277</c:v>
                </c:pt>
                <c:pt idx="54">
                  <c:v>0.51258757917455</c:v>
                </c:pt>
                <c:pt idx="55">
                  <c:v>0.526646478242996</c:v>
                </c:pt>
                <c:pt idx="56">
                  <c:v>0.540872043978108</c:v>
                </c:pt>
                <c:pt idx="57">
                  <c:v>0.555264276379888</c:v>
                </c:pt>
                <c:pt idx="58">
                  <c:v>0.569823175448334</c:v>
                </c:pt>
                <c:pt idx="59">
                  <c:v>0.584548741183447</c:v>
                </c:pt>
                <c:pt idx="60">
                  <c:v>0.599440973585226</c:v>
                </c:pt>
                <c:pt idx="61">
                  <c:v>0.614499872653672</c:v>
                </c:pt>
                <c:pt idx="62">
                  <c:v>0.629725438388785</c:v>
                </c:pt>
                <c:pt idx="63">
                  <c:v>0.645117670790565</c:v>
                </c:pt>
                <c:pt idx="64">
                  <c:v>0.660676569859011</c:v>
                </c:pt>
                <c:pt idx="65">
                  <c:v>0.676402135594124</c:v>
                </c:pt>
                <c:pt idx="66">
                  <c:v>0.692294367995903</c:v>
                </c:pt>
                <c:pt idx="67">
                  <c:v>0.708353267064349</c:v>
                </c:pt>
                <c:pt idx="68">
                  <c:v>0.724578832799462</c:v>
                </c:pt>
                <c:pt idx="69">
                  <c:v>0.740971065201242</c:v>
                </c:pt>
                <c:pt idx="70">
                  <c:v>0.757529964269688</c:v>
                </c:pt>
                <c:pt idx="71">
                  <c:v>0.774255530004801</c:v>
                </c:pt>
                <c:pt idx="72">
                  <c:v>0.79114776240658</c:v>
                </c:pt>
                <c:pt idx="73">
                  <c:v>0.808206661475026</c:v>
                </c:pt>
                <c:pt idx="74">
                  <c:v>0.825432227210139</c:v>
                </c:pt>
                <c:pt idx="75">
                  <c:v>0.842824459611918</c:v>
                </c:pt>
                <c:pt idx="76">
                  <c:v>0.860383358680364</c:v>
                </c:pt>
                <c:pt idx="77">
                  <c:v>0.878108924415477</c:v>
                </c:pt>
                <c:pt idx="78">
                  <c:v>0.896001156817257</c:v>
                </c:pt>
                <c:pt idx="79">
                  <c:v>0.914060055885703</c:v>
                </c:pt>
                <c:pt idx="80">
                  <c:v>0.932285621620816</c:v>
                </c:pt>
                <c:pt idx="81">
                  <c:v>0.950677854022595</c:v>
                </c:pt>
                <c:pt idx="82">
                  <c:v>0.969236753091041</c:v>
                </c:pt>
                <c:pt idx="83">
                  <c:v>0.987962318826154</c:v>
                </c:pt>
                <c:pt idx="84">
                  <c:v>1.00685455122793</c:v>
                </c:pt>
                <c:pt idx="85">
                  <c:v>1.02591345029638</c:v>
                </c:pt>
                <c:pt idx="86">
                  <c:v>1.04513901603149</c:v>
                </c:pt>
                <c:pt idx="87">
                  <c:v>1.06453124843327</c:v>
                </c:pt>
                <c:pt idx="88">
                  <c:v>1.08409014750172</c:v>
                </c:pt>
                <c:pt idx="89">
                  <c:v>1.10381571323683</c:v>
                </c:pt>
                <c:pt idx="90">
                  <c:v>1.12370794563861</c:v>
                </c:pt>
                <c:pt idx="91">
                  <c:v>1.14376684470706</c:v>
                </c:pt>
                <c:pt idx="92">
                  <c:v>1.16399241044217</c:v>
                </c:pt>
                <c:pt idx="93">
                  <c:v>1.18438464284395</c:v>
                </c:pt>
                <c:pt idx="94">
                  <c:v>1.2049435419124</c:v>
                </c:pt>
                <c:pt idx="95">
                  <c:v>1.22566910764751</c:v>
                </c:pt>
                <c:pt idx="96">
                  <c:v>1.24656134004929</c:v>
                </c:pt>
                <c:pt idx="97">
                  <c:v>1.26762023911773</c:v>
                </c:pt>
                <c:pt idx="98">
                  <c:v>1.28884580485285</c:v>
                </c:pt>
                <c:pt idx="99">
                  <c:v>1.31023803725463</c:v>
                </c:pt>
                <c:pt idx="100">
                  <c:v>1.33179693632307</c:v>
                </c:pt>
                <c:pt idx="101">
                  <c:v>1.35352250205818</c:v>
                </c:pt>
                <c:pt idx="102">
                  <c:v>1.37541473445996</c:v>
                </c:pt>
                <c:pt idx="103">
                  <c:v>1.39747363352841</c:v>
                </c:pt>
                <c:pt idx="104">
                  <c:v>1.41969919926352</c:v>
                </c:pt>
                <c:pt idx="105">
                  <c:v>1.4420914316653</c:v>
                </c:pt>
                <c:pt idx="106">
                  <c:v>1.46465033073375</c:v>
                </c:pt>
                <c:pt idx="107">
                  <c:v>1.48737589646886</c:v>
                </c:pt>
                <c:pt idx="108">
                  <c:v>1.51026812887064</c:v>
                </c:pt>
                <c:pt idx="109">
                  <c:v>1.53332702793909</c:v>
                </c:pt>
                <c:pt idx="110">
                  <c:v>1.5565525936742</c:v>
                </c:pt>
                <c:pt idx="111">
                  <c:v>1.57994482607598</c:v>
                </c:pt>
                <c:pt idx="112">
                  <c:v>1.60350372514443</c:v>
                </c:pt>
                <c:pt idx="113">
                  <c:v>1.62722929087954</c:v>
                </c:pt>
                <c:pt idx="114">
                  <c:v>1.65112152328132</c:v>
                </c:pt>
                <c:pt idx="115">
                  <c:v>1.67518042234976</c:v>
                </c:pt>
                <c:pt idx="116">
                  <c:v>1.69940598808488</c:v>
                </c:pt>
                <c:pt idx="117">
                  <c:v>1.72379822048666</c:v>
                </c:pt>
                <c:pt idx="118">
                  <c:v>1.7483571195551</c:v>
                </c:pt>
                <c:pt idx="119">
                  <c:v>1.77308268529022</c:v>
                </c:pt>
                <c:pt idx="120">
                  <c:v>1.79797491769199</c:v>
                </c:pt>
                <c:pt idx="121">
                  <c:v>1.82303381676044</c:v>
                </c:pt>
                <c:pt idx="122">
                  <c:v>1.84825938249555</c:v>
                </c:pt>
                <c:pt idx="123">
                  <c:v>1.87365161489733</c:v>
                </c:pt>
                <c:pt idx="124">
                  <c:v>1.89921051396578</c:v>
                </c:pt>
                <c:pt idx="125">
                  <c:v>1.92493607970089</c:v>
                </c:pt>
                <c:pt idx="126">
                  <c:v>1.95082831210267</c:v>
                </c:pt>
                <c:pt idx="127">
                  <c:v>1.97688721117112</c:v>
                </c:pt>
                <c:pt idx="128">
                  <c:v>2.00311277690623</c:v>
                </c:pt>
                <c:pt idx="129">
                  <c:v>2.02950500930801</c:v>
                </c:pt>
                <c:pt idx="130">
                  <c:v>2.05606390837646</c:v>
                </c:pt>
                <c:pt idx="131">
                  <c:v>2.08278947411157</c:v>
                </c:pt>
                <c:pt idx="132">
                  <c:v>2.10968170651335</c:v>
                </c:pt>
                <c:pt idx="133">
                  <c:v>2.13674060558179</c:v>
                </c:pt>
                <c:pt idx="134">
                  <c:v>2.16396617131691</c:v>
                </c:pt>
                <c:pt idx="135">
                  <c:v>2.19135840371869</c:v>
                </c:pt>
                <c:pt idx="136">
                  <c:v>2.21891730278713</c:v>
                </c:pt>
                <c:pt idx="137">
                  <c:v>2.24664286852225</c:v>
                </c:pt>
                <c:pt idx="138">
                  <c:v>2.27453510092403</c:v>
                </c:pt>
                <c:pt idx="139">
                  <c:v>2.30259399999247</c:v>
                </c:pt>
                <c:pt idx="140">
                  <c:v>2.33081956572758</c:v>
                </c:pt>
                <c:pt idx="141">
                  <c:v>2.35921179812936</c:v>
                </c:pt>
                <c:pt idx="142">
                  <c:v>2.38777069719781</c:v>
                </c:pt>
                <c:pt idx="143">
                  <c:v>2.41649626293292</c:v>
                </c:pt>
                <c:pt idx="144">
                  <c:v>2.4453884953347</c:v>
                </c:pt>
                <c:pt idx="145">
                  <c:v>2.47444739440315</c:v>
                </c:pt>
                <c:pt idx="146">
                  <c:v>2.50367296013826</c:v>
                </c:pt>
                <c:pt idx="147">
                  <c:v>2.53306519254004</c:v>
                </c:pt>
                <c:pt idx="148">
                  <c:v>2.56262409160849</c:v>
                </c:pt>
                <c:pt idx="149">
                  <c:v>2.5923496573436</c:v>
                </c:pt>
                <c:pt idx="150">
                  <c:v>2.62224188974538</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Eff_vs_IOUT!$S$8:$S$157</c:f>
              <c:numCache>
                <c:formatCode>General</c:formatCode>
                <c:ptCount val="150"/>
                <c:pt idx="0">
                  <c:v>0.0133333333333333</c:v>
                </c:pt>
                <c:pt idx="1">
                  <c:v>0.0266666666666667</c:v>
                </c:pt>
                <c:pt idx="2">
                  <c:v>0.04</c:v>
                </c:pt>
                <c:pt idx="3">
                  <c:v>0.0533333333333333</c:v>
                </c:pt>
                <c:pt idx="4">
                  <c:v>0.0666666666666667</c:v>
                </c:pt>
                <c:pt idx="5">
                  <c:v>0.08</c:v>
                </c:pt>
                <c:pt idx="6">
                  <c:v>0.0933333333333333</c:v>
                </c:pt>
                <c:pt idx="7">
                  <c:v>0.106666666666667</c:v>
                </c:pt>
                <c:pt idx="8">
                  <c:v>0.12</c:v>
                </c:pt>
                <c:pt idx="9">
                  <c:v>0.133333333333333</c:v>
                </c:pt>
                <c:pt idx="10">
                  <c:v>0.146666666666667</c:v>
                </c:pt>
                <c:pt idx="11">
                  <c:v>0.16</c:v>
                </c:pt>
                <c:pt idx="12">
                  <c:v>0.173333333333333</c:v>
                </c:pt>
                <c:pt idx="13">
                  <c:v>0.186666666666667</c:v>
                </c:pt>
                <c:pt idx="14">
                  <c:v>0.2</c:v>
                </c:pt>
                <c:pt idx="15">
                  <c:v>0.213333333333333</c:v>
                </c:pt>
                <c:pt idx="16">
                  <c:v>0.226666666666667</c:v>
                </c:pt>
                <c:pt idx="17">
                  <c:v>0.24</c:v>
                </c:pt>
                <c:pt idx="18">
                  <c:v>0.253333333333333</c:v>
                </c:pt>
                <c:pt idx="19">
                  <c:v>0.266666666666667</c:v>
                </c:pt>
                <c:pt idx="20">
                  <c:v>0.28</c:v>
                </c:pt>
                <c:pt idx="21">
                  <c:v>0.293333333333333</c:v>
                </c:pt>
                <c:pt idx="22">
                  <c:v>0.306666666666667</c:v>
                </c:pt>
                <c:pt idx="23">
                  <c:v>0.32</c:v>
                </c:pt>
                <c:pt idx="24">
                  <c:v>0.333333333333333</c:v>
                </c:pt>
                <c:pt idx="25">
                  <c:v>0.346666666666667</c:v>
                </c:pt>
                <c:pt idx="26">
                  <c:v>0.36</c:v>
                </c:pt>
                <c:pt idx="27">
                  <c:v>0.373333333333333</c:v>
                </c:pt>
                <c:pt idx="28">
                  <c:v>0.386666666666667</c:v>
                </c:pt>
                <c:pt idx="29">
                  <c:v>0.4</c:v>
                </c:pt>
                <c:pt idx="30">
                  <c:v>0.413333333333333</c:v>
                </c:pt>
                <c:pt idx="31">
                  <c:v>0.426666666666667</c:v>
                </c:pt>
                <c:pt idx="32">
                  <c:v>0.44</c:v>
                </c:pt>
                <c:pt idx="33">
                  <c:v>0.453333333333333</c:v>
                </c:pt>
                <c:pt idx="34">
                  <c:v>0.466666666666667</c:v>
                </c:pt>
                <c:pt idx="35">
                  <c:v>0.48</c:v>
                </c:pt>
                <c:pt idx="36">
                  <c:v>0.493333333333333</c:v>
                </c:pt>
                <c:pt idx="37">
                  <c:v>0.506666666666667</c:v>
                </c:pt>
                <c:pt idx="38">
                  <c:v>0.52</c:v>
                </c:pt>
                <c:pt idx="39">
                  <c:v>0.533333333333333</c:v>
                </c:pt>
                <c:pt idx="40">
                  <c:v>0.546666666666667</c:v>
                </c:pt>
                <c:pt idx="41">
                  <c:v>0.56</c:v>
                </c:pt>
                <c:pt idx="42">
                  <c:v>0.573333333333333</c:v>
                </c:pt>
                <c:pt idx="43">
                  <c:v>0.586666666666667</c:v>
                </c:pt>
                <c:pt idx="44">
                  <c:v>0.6</c:v>
                </c:pt>
                <c:pt idx="45">
                  <c:v>0.613333333333333</c:v>
                </c:pt>
                <c:pt idx="46">
                  <c:v>0.626666666666667</c:v>
                </c:pt>
                <c:pt idx="47">
                  <c:v>0.64</c:v>
                </c:pt>
                <c:pt idx="48">
                  <c:v>0.653333333333333</c:v>
                </c:pt>
                <c:pt idx="49">
                  <c:v>0.666666666666667</c:v>
                </c:pt>
                <c:pt idx="50">
                  <c:v>0.68</c:v>
                </c:pt>
                <c:pt idx="51">
                  <c:v>0.693333333333333</c:v>
                </c:pt>
                <c:pt idx="52">
                  <c:v>0.706666666666667</c:v>
                </c:pt>
                <c:pt idx="53">
                  <c:v>0.72</c:v>
                </c:pt>
                <c:pt idx="54">
                  <c:v>0.733333333333333</c:v>
                </c:pt>
                <c:pt idx="55">
                  <c:v>0.746666666666667</c:v>
                </c:pt>
                <c:pt idx="56">
                  <c:v>0.76</c:v>
                </c:pt>
                <c:pt idx="57">
                  <c:v>0.773333333333333</c:v>
                </c:pt>
                <c:pt idx="58">
                  <c:v>0.786666666666667</c:v>
                </c:pt>
                <c:pt idx="59">
                  <c:v>0.8</c:v>
                </c:pt>
                <c:pt idx="60">
                  <c:v>0.813333333333333</c:v>
                </c:pt>
                <c:pt idx="61">
                  <c:v>0.826666666666667</c:v>
                </c:pt>
                <c:pt idx="62">
                  <c:v>0.84</c:v>
                </c:pt>
                <c:pt idx="63">
                  <c:v>0.853333333333333</c:v>
                </c:pt>
                <c:pt idx="64">
                  <c:v>0.866666666666667</c:v>
                </c:pt>
                <c:pt idx="65">
                  <c:v>0.88</c:v>
                </c:pt>
                <c:pt idx="66">
                  <c:v>0.893333333333333</c:v>
                </c:pt>
                <c:pt idx="67">
                  <c:v>0.906666666666667</c:v>
                </c:pt>
                <c:pt idx="68">
                  <c:v>0.92</c:v>
                </c:pt>
                <c:pt idx="69">
                  <c:v>0.933333333333333</c:v>
                </c:pt>
                <c:pt idx="70">
                  <c:v>0.946666666666667</c:v>
                </c:pt>
                <c:pt idx="71">
                  <c:v>0.96</c:v>
                </c:pt>
                <c:pt idx="72">
                  <c:v>0.973333333333333</c:v>
                </c:pt>
                <c:pt idx="73">
                  <c:v>0.986666666666667</c:v>
                </c:pt>
                <c:pt idx="74">
                  <c:v>1</c:v>
                </c:pt>
                <c:pt idx="75">
                  <c:v>1.01333333333333</c:v>
                </c:pt>
                <c:pt idx="76">
                  <c:v>1.02666666666667</c:v>
                </c:pt>
                <c:pt idx="77">
                  <c:v>1.04</c:v>
                </c:pt>
                <c:pt idx="78">
                  <c:v>1.05333333333333</c:v>
                </c:pt>
                <c:pt idx="79">
                  <c:v>1.06666666666667</c:v>
                </c:pt>
                <c:pt idx="80">
                  <c:v>1.08</c:v>
                </c:pt>
                <c:pt idx="81">
                  <c:v>1.09333333333333</c:v>
                </c:pt>
                <c:pt idx="82">
                  <c:v>1.10666666666667</c:v>
                </c:pt>
                <c:pt idx="83">
                  <c:v>1.12</c:v>
                </c:pt>
                <c:pt idx="84">
                  <c:v>1.13333333333333</c:v>
                </c:pt>
                <c:pt idx="85">
                  <c:v>1.14666666666667</c:v>
                </c:pt>
                <c:pt idx="86">
                  <c:v>1.16</c:v>
                </c:pt>
                <c:pt idx="87">
                  <c:v>1.17333333333333</c:v>
                </c:pt>
                <c:pt idx="88">
                  <c:v>1.18666666666667</c:v>
                </c:pt>
                <c:pt idx="89">
                  <c:v>1.2</c:v>
                </c:pt>
                <c:pt idx="90">
                  <c:v>1.21333333333333</c:v>
                </c:pt>
                <c:pt idx="91">
                  <c:v>1.22666666666667</c:v>
                </c:pt>
                <c:pt idx="92">
                  <c:v>1.24</c:v>
                </c:pt>
                <c:pt idx="93">
                  <c:v>1.25333333333333</c:v>
                </c:pt>
                <c:pt idx="94">
                  <c:v>1.26666666666667</c:v>
                </c:pt>
                <c:pt idx="95">
                  <c:v>1.28</c:v>
                </c:pt>
                <c:pt idx="96">
                  <c:v>1.29333333333333</c:v>
                </c:pt>
                <c:pt idx="97">
                  <c:v>1.30666666666667</c:v>
                </c:pt>
                <c:pt idx="98">
                  <c:v>1.32</c:v>
                </c:pt>
                <c:pt idx="99">
                  <c:v>1.33333333333333</c:v>
                </c:pt>
                <c:pt idx="100">
                  <c:v>1.34666666666667</c:v>
                </c:pt>
                <c:pt idx="101">
                  <c:v>1.36</c:v>
                </c:pt>
                <c:pt idx="102">
                  <c:v>1.37333333333333</c:v>
                </c:pt>
                <c:pt idx="103">
                  <c:v>1.38666666666667</c:v>
                </c:pt>
                <c:pt idx="104">
                  <c:v>1.4</c:v>
                </c:pt>
                <c:pt idx="105">
                  <c:v>1.41333333333333</c:v>
                </c:pt>
                <c:pt idx="106">
                  <c:v>1.42666666666667</c:v>
                </c:pt>
                <c:pt idx="107">
                  <c:v>1.44</c:v>
                </c:pt>
                <c:pt idx="108">
                  <c:v>1.45333333333333</c:v>
                </c:pt>
                <c:pt idx="109">
                  <c:v>1.46666666666667</c:v>
                </c:pt>
                <c:pt idx="110">
                  <c:v>1.48</c:v>
                </c:pt>
                <c:pt idx="111">
                  <c:v>1.49333333333333</c:v>
                </c:pt>
                <c:pt idx="112">
                  <c:v>1.50666666666667</c:v>
                </c:pt>
                <c:pt idx="113">
                  <c:v>1.52</c:v>
                </c:pt>
                <c:pt idx="114">
                  <c:v>1.53333333333333</c:v>
                </c:pt>
                <c:pt idx="115">
                  <c:v>1.54666666666667</c:v>
                </c:pt>
                <c:pt idx="116">
                  <c:v>1.56</c:v>
                </c:pt>
                <c:pt idx="117">
                  <c:v>1.57333333333333</c:v>
                </c:pt>
                <c:pt idx="118">
                  <c:v>1.58666666666667</c:v>
                </c:pt>
                <c:pt idx="119">
                  <c:v>1.6</c:v>
                </c:pt>
                <c:pt idx="120">
                  <c:v>1.61333333333333</c:v>
                </c:pt>
                <c:pt idx="121">
                  <c:v>1.62666666666667</c:v>
                </c:pt>
                <c:pt idx="122">
                  <c:v>1.64</c:v>
                </c:pt>
                <c:pt idx="123">
                  <c:v>1.65333333333333</c:v>
                </c:pt>
                <c:pt idx="124">
                  <c:v>1.66666666666667</c:v>
                </c:pt>
                <c:pt idx="125">
                  <c:v>1.68</c:v>
                </c:pt>
                <c:pt idx="126">
                  <c:v>1.69333333333333</c:v>
                </c:pt>
                <c:pt idx="127">
                  <c:v>1.70666666666667</c:v>
                </c:pt>
                <c:pt idx="128">
                  <c:v>1.72</c:v>
                </c:pt>
                <c:pt idx="129">
                  <c:v>1.73333333333333</c:v>
                </c:pt>
                <c:pt idx="130">
                  <c:v>1.74666666666667</c:v>
                </c:pt>
                <c:pt idx="131">
                  <c:v>1.76</c:v>
                </c:pt>
                <c:pt idx="132">
                  <c:v>1.77333333333333</c:v>
                </c:pt>
                <c:pt idx="133">
                  <c:v>1.78666666666667</c:v>
                </c:pt>
                <c:pt idx="134">
                  <c:v>1.8</c:v>
                </c:pt>
                <c:pt idx="135">
                  <c:v>1.81333333333333</c:v>
                </c:pt>
                <c:pt idx="136">
                  <c:v>1.82666666666667</c:v>
                </c:pt>
                <c:pt idx="137">
                  <c:v>1.84</c:v>
                </c:pt>
                <c:pt idx="138">
                  <c:v>1.85333333333333</c:v>
                </c:pt>
                <c:pt idx="139">
                  <c:v>1.86666666666667</c:v>
                </c:pt>
                <c:pt idx="140">
                  <c:v>1.88</c:v>
                </c:pt>
                <c:pt idx="141">
                  <c:v>1.89333333333333</c:v>
                </c:pt>
                <c:pt idx="142">
                  <c:v>1.90666666666667</c:v>
                </c:pt>
                <c:pt idx="143">
                  <c:v>1.92</c:v>
                </c:pt>
                <c:pt idx="144">
                  <c:v>1.93333333333333</c:v>
                </c:pt>
                <c:pt idx="145">
                  <c:v>1.94666666666667</c:v>
                </c:pt>
                <c:pt idx="146">
                  <c:v>1.96</c:v>
                </c:pt>
                <c:pt idx="147">
                  <c:v>1.97333333333333</c:v>
                </c:pt>
                <c:pt idx="148">
                  <c:v>1.98666666666667</c:v>
                </c:pt>
                <c:pt idx="149">
                  <c:v>2</c:v>
                </c:pt>
              </c:numCache>
            </c:numRef>
          </c:xVal>
          <c:yVal>
            <c:numRef>
              <c:f>Eff_vs_IOUT!$AN$8:$AN$157</c:f>
              <c:numCache>
                <c:formatCode>General</c:formatCode>
                <c:ptCount val="150"/>
                <c:pt idx="0">
                  <c:v>0.00826666666666667</c:v>
                </c:pt>
                <c:pt idx="1">
                  <c:v>0.0165333333333333</c:v>
                </c:pt>
                <c:pt idx="2">
                  <c:v>0.0248</c:v>
                </c:pt>
                <c:pt idx="3">
                  <c:v>0.0330666666666667</c:v>
                </c:pt>
                <c:pt idx="4">
                  <c:v>0.0413333333333333</c:v>
                </c:pt>
                <c:pt idx="5">
                  <c:v>0.0496</c:v>
                </c:pt>
                <c:pt idx="6">
                  <c:v>0.0578666666666667</c:v>
                </c:pt>
                <c:pt idx="7">
                  <c:v>0.0661333333333333</c:v>
                </c:pt>
                <c:pt idx="8">
                  <c:v>0.0744</c:v>
                </c:pt>
                <c:pt idx="9">
                  <c:v>0.0826666666666667</c:v>
                </c:pt>
                <c:pt idx="10">
                  <c:v>0.0909333333333333</c:v>
                </c:pt>
                <c:pt idx="11">
                  <c:v>0.0992</c:v>
                </c:pt>
                <c:pt idx="12">
                  <c:v>0.107466666666667</c:v>
                </c:pt>
                <c:pt idx="13">
                  <c:v>0.115733333333333</c:v>
                </c:pt>
                <c:pt idx="14">
                  <c:v>0.124</c:v>
                </c:pt>
                <c:pt idx="15">
                  <c:v>0.132266666666667</c:v>
                </c:pt>
                <c:pt idx="16">
                  <c:v>0.140533333333333</c:v>
                </c:pt>
                <c:pt idx="17">
                  <c:v>0.1488</c:v>
                </c:pt>
                <c:pt idx="18">
                  <c:v>0.157066666666667</c:v>
                </c:pt>
                <c:pt idx="19">
                  <c:v>0.165333333333333</c:v>
                </c:pt>
                <c:pt idx="20">
                  <c:v>0.1736</c:v>
                </c:pt>
                <c:pt idx="21">
                  <c:v>0.181866666666667</c:v>
                </c:pt>
                <c:pt idx="22">
                  <c:v>0.190133333333333</c:v>
                </c:pt>
                <c:pt idx="23">
                  <c:v>0.1984</c:v>
                </c:pt>
                <c:pt idx="24">
                  <c:v>0.206666666666667</c:v>
                </c:pt>
                <c:pt idx="25">
                  <c:v>0.214933333333333</c:v>
                </c:pt>
                <c:pt idx="26">
                  <c:v>0.2232</c:v>
                </c:pt>
                <c:pt idx="27">
                  <c:v>0.231466666666667</c:v>
                </c:pt>
                <c:pt idx="28">
                  <c:v>0.239733333333333</c:v>
                </c:pt>
                <c:pt idx="29">
                  <c:v>0.248</c:v>
                </c:pt>
                <c:pt idx="30">
                  <c:v>0.256266666666667</c:v>
                </c:pt>
                <c:pt idx="31">
                  <c:v>0.264533333333333</c:v>
                </c:pt>
                <c:pt idx="32">
                  <c:v>0.2728</c:v>
                </c:pt>
                <c:pt idx="33">
                  <c:v>0.281066666666667</c:v>
                </c:pt>
                <c:pt idx="34">
                  <c:v>0.289333333333333</c:v>
                </c:pt>
                <c:pt idx="35">
                  <c:v>0.2976</c:v>
                </c:pt>
                <c:pt idx="36">
                  <c:v>0.305866666666667</c:v>
                </c:pt>
                <c:pt idx="37">
                  <c:v>0.314133333333333</c:v>
                </c:pt>
                <c:pt idx="38">
                  <c:v>0.3224</c:v>
                </c:pt>
                <c:pt idx="39">
                  <c:v>0.330666666666667</c:v>
                </c:pt>
                <c:pt idx="40">
                  <c:v>0.338933333333333</c:v>
                </c:pt>
                <c:pt idx="41">
                  <c:v>0.3472</c:v>
                </c:pt>
                <c:pt idx="42">
                  <c:v>0.355466666666667</c:v>
                </c:pt>
                <c:pt idx="43">
                  <c:v>0.363733333333333</c:v>
                </c:pt>
                <c:pt idx="44">
                  <c:v>0.372</c:v>
                </c:pt>
                <c:pt idx="45">
                  <c:v>0.380266666666667</c:v>
                </c:pt>
                <c:pt idx="46">
                  <c:v>0.388533333333333</c:v>
                </c:pt>
                <c:pt idx="47">
                  <c:v>0.3968</c:v>
                </c:pt>
                <c:pt idx="48">
                  <c:v>0.405066666666667</c:v>
                </c:pt>
                <c:pt idx="49">
                  <c:v>0.413333333333333</c:v>
                </c:pt>
                <c:pt idx="50">
                  <c:v>0.4216</c:v>
                </c:pt>
                <c:pt idx="51">
                  <c:v>0.429866666666667</c:v>
                </c:pt>
                <c:pt idx="52">
                  <c:v>0.438133333333333</c:v>
                </c:pt>
                <c:pt idx="53">
                  <c:v>0.4464</c:v>
                </c:pt>
                <c:pt idx="54">
                  <c:v>0.454666666666667</c:v>
                </c:pt>
                <c:pt idx="55">
                  <c:v>0.462933333333333</c:v>
                </c:pt>
                <c:pt idx="56">
                  <c:v>0.4712</c:v>
                </c:pt>
                <c:pt idx="57">
                  <c:v>0.479466666666667</c:v>
                </c:pt>
                <c:pt idx="58">
                  <c:v>0.487733333333333</c:v>
                </c:pt>
                <c:pt idx="59">
                  <c:v>0.496</c:v>
                </c:pt>
                <c:pt idx="60">
                  <c:v>0.504266666666667</c:v>
                </c:pt>
                <c:pt idx="61">
                  <c:v>0.512533333333333</c:v>
                </c:pt>
                <c:pt idx="62">
                  <c:v>0.5208</c:v>
                </c:pt>
                <c:pt idx="63">
                  <c:v>0.529066666666667</c:v>
                </c:pt>
                <c:pt idx="64">
                  <c:v>0.537333333333333</c:v>
                </c:pt>
                <c:pt idx="65">
                  <c:v>0.5456</c:v>
                </c:pt>
                <c:pt idx="66">
                  <c:v>0.553866666666667</c:v>
                </c:pt>
                <c:pt idx="67">
                  <c:v>0.562133333333333</c:v>
                </c:pt>
                <c:pt idx="68">
                  <c:v>0.5704</c:v>
                </c:pt>
                <c:pt idx="69">
                  <c:v>0.578666666666667</c:v>
                </c:pt>
                <c:pt idx="70">
                  <c:v>0.586933333333333</c:v>
                </c:pt>
                <c:pt idx="71">
                  <c:v>0.5952</c:v>
                </c:pt>
                <c:pt idx="72">
                  <c:v>0.603466666666667</c:v>
                </c:pt>
                <c:pt idx="73">
                  <c:v>0.611733333333333</c:v>
                </c:pt>
                <c:pt idx="74">
                  <c:v>0.62</c:v>
                </c:pt>
                <c:pt idx="75">
                  <c:v>0.628266666666667</c:v>
                </c:pt>
                <c:pt idx="76">
                  <c:v>0.636533333333333</c:v>
                </c:pt>
                <c:pt idx="77">
                  <c:v>0.6448</c:v>
                </c:pt>
                <c:pt idx="78">
                  <c:v>0.653066666666667</c:v>
                </c:pt>
                <c:pt idx="79">
                  <c:v>0.661333333333333</c:v>
                </c:pt>
                <c:pt idx="80">
                  <c:v>0.6696</c:v>
                </c:pt>
                <c:pt idx="81">
                  <c:v>0.677866666666667</c:v>
                </c:pt>
                <c:pt idx="82">
                  <c:v>0.686133333333333</c:v>
                </c:pt>
                <c:pt idx="83">
                  <c:v>0.6944</c:v>
                </c:pt>
                <c:pt idx="84">
                  <c:v>0.702666666666667</c:v>
                </c:pt>
                <c:pt idx="85">
                  <c:v>0.710933333333333</c:v>
                </c:pt>
                <c:pt idx="86">
                  <c:v>0.7192</c:v>
                </c:pt>
                <c:pt idx="87">
                  <c:v>0.727466666666667</c:v>
                </c:pt>
                <c:pt idx="88">
                  <c:v>0.735733333333333</c:v>
                </c:pt>
                <c:pt idx="89">
                  <c:v>0.744</c:v>
                </c:pt>
                <c:pt idx="90">
                  <c:v>0.752266666666667</c:v>
                </c:pt>
                <c:pt idx="91">
                  <c:v>0.760533333333333</c:v>
                </c:pt>
                <c:pt idx="92">
                  <c:v>0.7688</c:v>
                </c:pt>
                <c:pt idx="93">
                  <c:v>0.777066666666667</c:v>
                </c:pt>
                <c:pt idx="94">
                  <c:v>0.785333333333333</c:v>
                </c:pt>
                <c:pt idx="95">
                  <c:v>0.7936</c:v>
                </c:pt>
                <c:pt idx="96">
                  <c:v>0.801866666666667</c:v>
                </c:pt>
                <c:pt idx="97">
                  <c:v>0.810133333333333</c:v>
                </c:pt>
                <c:pt idx="98">
                  <c:v>0.8184</c:v>
                </c:pt>
                <c:pt idx="99">
                  <c:v>0.826666666666667</c:v>
                </c:pt>
                <c:pt idx="100">
                  <c:v>0.834933333333333</c:v>
                </c:pt>
                <c:pt idx="101">
                  <c:v>0.8432</c:v>
                </c:pt>
                <c:pt idx="102">
                  <c:v>0.851466666666667</c:v>
                </c:pt>
                <c:pt idx="103">
                  <c:v>0.859733333333333</c:v>
                </c:pt>
                <c:pt idx="104">
                  <c:v>0.868</c:v>
                </c:pt>
                <c:pt idx="105">
                  <c:v>0.876266666666667</c:v>
                </c:pt>
                <c:pt idx="106">
                  <c:v>0.884533333333333</c:v>
                </c:pt>
                <c:pt idx="107">
                  <c:v>0.8928</c:v>
                </c:pt>
                <c:pt idx="108">
                  <c:v>0.901066666666667</c:v>
                </c:pt>
                <c:pt idx="109">
                  <c:v>0.909333333333333</c:v>
                </c:pt>
                <c:pt idx="110">
                  <c:v>0.9176</c:v>
                </c:pt>
                <c:pt idx="111">
                  <c:v>0.925866666666667</c:v>
                </c:pt>
                <c:pt idx="112">
                  <c:v>0.934133333333333</c:v>
                </c:pt>
                <c:pt idx="113">
                  <c:v>0.9424</c:v>
                </c:pt>
                <c:pt idx="114">
                  <c:v>0.950666666666667</c:v>
                </c:pt>
                <c:pt idx="115">
                  <c:v>0.958933333333333</c:v>
                </c:pt>
                <c:pt idx="116">
                  <c:v>0.9672</c:v>
                </c:pt>
                <c:pt idx="117">
                  <c:v>0.975466666666667</c:v>
                </c:pt>
                <c:pt idx="118">
                  <c:v>0.983733333333333</c:v>
                </c:pt>
                <c:pt idx="119">
                  <c:v>0.992</c:v>
                </c:pt>
                <c:pt idx="120">
                  <c:v>1.00026666666667</c:v>
                </c:pt>
                <c:pt idx="121">
                  <c:v>1.00853333333333</c:v>
                </c:pt>
                <c:pt idx="122">
                  <c:v>1.0168</c:v>
                </c:pt>
                <c:pt idx="123">
                  <c:v>1.02506666666667</c:v>
                </c:pt>
                <c:pt idx="124">
                  <c:v>1.03333333333333</c:v>
                </c:pt>
                <c:pt idx="125">
                  <c:v>1.0416</c:v>
                </c:pt>
                <c:pt idx="126">
                  <c:v>1.04986666666667</c:v>
                </c:pt>
                <c:pt idx="127">
                  <c:v>1.05813333333333</c:v>
                </c:pt>
                <c:pt idx="128">
                  <c:v>1.0664</c:v>
                </c:pt>
                <c:pt idx="129">
                  <c:v>1.07466666666667</c:v>
                </c:pt>
                <c:pt idx="130">
                  <c:v>1.08293333333333</c:v>
                </c:pt>
                <c:pt idx="131">
                  <c:v>1.0912</c:v>
                </c:pt>
                <c:pt idx="132">
                  <c:v>1.09946666666667</c:v>
                </c:pt>
                <c:pt idx="133">
                  <c:v>1.10773333333333</c:v>
                </c:pt>
                <c:pt idx="134">
                  <c:v>1.116</c:v>
                </c:pt>
                <c:pt idx="135">
                  <c:v>1.12426666666667</c:v>
                </c:pt>
                <c:pt idx="136">
                  <c:v>1.13253333333333</c:v>
                </c:pt>
                <c:pt idx="137">
                  <c:v>1.1408</c:v>
                </c:pt>
                <c:pt idx="138">
                  <c:v>1.14906666666667</c:v>
                </c:pt>
                <c:pt idx="139">
                  <c:v>1.15733333333333</c:v>
                </c:pt>
                <c:pt idx="140">
                  <c:v>1.1656</c:v>
                </c:pt>
                <c:pt idx="141">
                  <c:v>1.17386666666667</c:v>
                </c:pt>
                <c:pt idx="142">
                  <c:v>1.18213333333333</c:v>
                </c:pt>
                <c:pt idx="143">
                  <c:v>1.1904</c:v>
                </c:pt>
                <c:pt idx="144">
                  <c:v>1.19866666666667</c:v>
                </c:pt>
                <c:pt idx="145">
                  <c:v>1.20693333333333</c:v>
                </c:pt>
                <c:pt idx="146">
                  <c:v>1.2152</c:v>
                </c:pt>
                <c:pt idx="147">
                  <c:v>1.22346666666667</c:v>
                </c:pt>
                <c:pt idx="148">
                  <c:v>1.23173333333333</c:v>
                </c:pt>
                <c:pt idx="149">
                  <c:v>1.24</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Eff_vs_IOUT!$AO$7:$AO$157</c:f>
              <c:numCache>
                <c:formatCode>General</c:formatCode>
                <c:ptCount val="151"/>
                <c:pt idx="0">
                  <c:v>0</c:v>
                </c:pt>
                <c:pt idx="1">
                  <c:v>0.000488746557755868</c:v>
                </c:pt>
                <c:pt idx="2">
                  <c:v>0.0016632</c:v>
                </c:pt>
                <c:pt idx="3">
                  <c:v>0.00349185194151847</c:v>
                </c:pt>
                <c:pt idx="4">
                  <c:v>0.00598608604141207</c:v>
                </c:pt>
                <c:pt idx="5">
                  <c:v>0.00199357520786092</c:v>
                </c:pt>
                <c:pt idx="6">
                  <c:v>0.00260468631897203</c:v>
                </c:pt>
                <c:pt idx="7">
                  <c:v>0.00332690854119426</c:v>
                </c:pt>
                <c:pt idx="8">
                  <c:v>0.00416024187452759</c:v>
                </c:pt>
                <c:pt idx="9">
                  <c:v>0.00510468631897204</c:v>
                </c:pt>
                <c:pt idx="10">
                  <c:v>0.00616024187452759</c:v>
                </c:pt>
                <c:pt idx="11">
                  <c:v>0.00732690854119426</c:v>
                </c:pt>
                <c:pt idx="12">
                  <c:v>0.00860468631897203</c:v>
                </c:pt>
                <c:pt idx="13">
                  <c:v>0.00999357520786092</c:v>
                </c:pt>
                <c:pt idx="14">
                  <c:v>0.0114935752078609</c:v>
                </c:pt>
                <c:pt idx="15">
                  <c:v>0.013104686318972</c:v>
                </c:pt>
                <c:pt idx="16">
                  <c:v>0.0148269085411943</c:v>
                </c:pt>
                <c:pt idx="17">
                  <c:v>0.0166602418745276</c:v>
                </c:pt>
                <c:pt idx="18">
                  <c:v>0.018604686318972</c:v>
                </c:pt>
                <c:pt idx="19">
                  <c:v>0.0206602418745276</c:v>
                </c:pt>
                <c:pt idx="20">
                  <c:v>0.0228269085411943</c:v>
                </c:pt>
                <c:pt idx="21">
                  <c:v>0.025104686318972</c:v>
                </c:pt>
                <c:pt idx="22">
                  <c:v>0.0274935752078609</c:v>
                </c:pt>
                <c:pt idx="23">
                  <c:v>0.0299935752078609</c:v>
                </c:pt>
                <c:pt idx="24">
                  <c:v>0.032604686318972</c:v>
                </c:pt>
                <c:pt idx="25">
                  <c:v>0.0353269085411943</c:v>
                </c:pt>
                <c:pt idx="26">
                  <c:v>0.0381602418745276</c:v>
                </c:pt>
                <c:pt idx="27">
                  <c:v>0.041104686318972</c:v>
                </c:pt>
                <c:pt idx="28">
                  <c:v>0.0441602418745276</c:v>
                </c:pt>
                <c:pt idx="29">
                  <c:v>0.0473269085411943</c:v>
                </c:pt>
                <c:pt idx="30">
                  <c:v>0.050604686318972</c:v>
                </c:pt>
                <c:pt idx="31">
                  <c:v>0.0539935752078609</c:v>
                </c:pt>
                <c:pt idx="32">
                  <c:v>0.0574935752078609</c:v>
                </c:pt>
                <c:pt idx="33">
                  <c:v>0.061104686318972</c:v>
                </c:pt>
                <c:pt idx="34">
                  <c:v>0.0648269085411943</c:v>
                </c:pt>
                <c:pt idx="35">
                  <c:v>0.0686602418745276</c:v>
                </c:pt>
                <c:pt idx="36">
                  <c:v>0.0726046863189721</c:v>
                </c:pt>
                <c:pt idx="37">
                  <c:v>0.0766602418745276</c:v>
                </c:pt>
                <c:pt idx="38">
                  <c:v>0.0808269085411943</c:v>
                </c:pt>
                <c:pt idx="39">
                  <c:v>0.085104686318972</c:v>
                </c:pt>
                <c:pt idx="40">
                  <c:v>0.0894935752078609</c:v>
                </c:pt>
                <c:pt idx="41">
                  <c:v>0.093993575207861</c:v>
                </c:pt>
                <c:pt idx="42">
                  <c:v>0.0986046863189721</c:v>
                </c:pt>
                <c:pt idx="43">
                  <c:v>0.103326908541194</c:v>
                </c:pt>
                <c:pt idx="44">
                  <c:v>0.108160241874528</c:v>
                </c:pt>
                <c:pt idx="45">
                  <c:v>0.113104686318972</c:v>
                </c:pt>
                <c:pt idx="46">
                  <c:v>0.118160241874528</c:v>
                </c:pt>
                <c:pt idx="47">
                  <c:v>0.123326908541194</c:v>
                </c:pt>
                <c:pt idx="48">
                  <c:v>0.128604686318972</c:v>
                </c:pt>
                <c:pt idx="49">
                  <c:v>0.133993575207861</c:v>
                </c:pt>
                <c:pt idx="50">
                  <c:v>0.139493575207861</c:v>
                </c:pt>
                <c:pt idx="51">
                  <c:v>0.145104686318972</c:v>
                </c:pt>
                <c:pt idx="52">
                  <c:v>0.150826908541194</c:v>
                </c:pt>
                <c:pt idx="53">
                  <c:v>0.156660241874528</c:v>
                </c:pt>
                <c:pt idx="54">
                  <c:v>0.162604686318972</c:v>
                </c:pt>
                <c:pt idx="55">
                  <c:v>0.168660241874528</c:v>
                </c:pt>
                <c:pt idx="56">
                  <c:v>0.174826908541194</c:v>
                </c:pt>
                <c:pt idx="57">
                  <c:v>0.181104686318972</c:v>
                </c:pt>
                <c:pt idx="58">
                  <c:v>0.187493575207861</c:v>
                </c:pt>
                <c:pt idx="59">
                  <c:v>0.193993575207861</c:v>
                </c:pt>
                <c:pt idx="60">
                  <c:v>0.200604686318972</c:v>
                </c:pt>
                <c:pt idx="61">
                  <c:v>0.207326908541194</c:v>
                </c:pt>
                <c:pt idx="62">
                  <c:v>0.214160241874528</c:v>
                </c:pt>
                <c:pt idx="63">
                  <c:v>0.221104686318972</c:v>
                </c:pt>
                <c:pt idx="64">
                  <c:v>0.228160241874528</c:v>
                </c:pt>
                <c:pt idx="65">
                  <c:v>0.235326908541194</c:v>
                </c:pt>
                <c:pt idx="66">
                  <c:v>0.242604686318972</c:v>
                </c:pt>
                <c:pt idx="67">
                  <c:v>0.249993575207861</c:v>
                </c:pt>
                <c:pt idx="68">
                  <c:v>0.257493575207861</c:v>
                </c:pt>
                <c:pt idx="69">
                  <c:v>0.265104686318972</c:v>
                </c:pt>
                <c:pt idx="70">
                  <c:v>0.272826908541194</c:v>
                </c:pt>
                <c:pt idx="71">
                  <c:v>0.280660241874528</c:v>
                </c:pt>
                <c:pt idx="72">
                  <c:v>0.288604686318972</c:v>
                </c:pt>
                <c:pt idx="73">
                  <c:v>0.296660241874528</c:v>
                </c:pt>
                <c:pt idx="74">
                  <c:v>0.304826908541194</c:v>
                </c:pt>
                <c:pt idx="75">
                  <c:v>0.313104686318972</c:v>
                </c:pt>
                <c:pt idx="76">
                  <c:v>0.321493575207861</c:v>
                </c:pt>
                <c:pt idx="77">
                  <c:v>0.329993575207861</c:v>
                </c:pt>
                <c:pt idx="78">
                  <c:v>0.338604686318972</c:v>
                </c:pt>
                <c:pt idx="79">
                  <c:v>0.347326908541194</c:v>
                </c:pt>
                <c:pt idx="80">
                  <c:v>0.356160241874528</c:v>
                </c:pt>
                <c:pt idx="81">
                  <c:v>0.365104686318972</c:v>
                </c:pt>
                <c:pt idx="82">
                  <c:v>0.374160241874528</c:v>
                </c:pt>
                <c:pt idx="83">
                  <c:v>0.383326908541194</c:v>
                </c:pt>
                <c:pt idx="84">
                  <c:v>0.392604686318972</c:v>
                </c:pt>
                <c:pt idx="85">
                  <c:v>0.401993575207861</c:v>
                </c:pt>
                <c:pt idx="86">
                  <c:v>0.411493575207861</c:v>
                </c:pt>
                <c:pt idx="87">
                  <c:v>0.421104686318972</c:v>
                </c:pt>
                <c:pt idx="88">
                  <c:v>0.430826908541194</c:v>
                </c:pt>
                <c:pt idx="89">
                  <c:v>0.440660241874528</c:v>
                </c:pt>
                <c:pt idx="90">
                  <c:v>0.450604686318972</c:v>
                </c:pt>
                <c:pt idx="91">
                  <c:v>0.460660241874527</c:v>
                </c:pt>
                <c:pt idx="92">
                  <c:v>0.470826908541194</c:v>
                </c:pt>
                <c:pt idx="93">
                  <c:v>0.481104686318972</c:v>
                </c:pt>
                <c:pt idx="94">
                  <c:v>0.491493575207861</c:v>
                </c:pt>
                <c:pt idx="95">
                  <c:v>0.501993575207861</c:v>
                </c:pt>
                <c:pt idx="96">
                  <c:v>0.512604686318972</c:v>
                </c:pt>
                <c:pt idx="97">
                  <c:v>0.523326908541194</c:v>
                </c:pt>
                <c:pt idx="98">
                  <c:v>0.534160241874528</c:v>
                </c:pt>
                <c:pt idx="99">
                  <c:v>0.545104686318972</c:v>
                </c:pt>
                <c:pt idx="100">
                  <c:v>0.556160241874528</c:v>
                </c:pt>
                <c:pt idx="101">
                  <c:v>0.567326908541194</c:v>
                </c:pt>
                <c:pt idx="102">
                  <c:v>0.578604686318972</c:v>
                </c:pt>
                <c:pt idx="103">
                  <c:v>0.589993575207861</c:v>
                </c:pt>
                <c:pt idx="104">
                  <c:v>0.601493575207861</c:v>
                </c:pt>
                <c:pt idx="105">
                  <c:v>0.613104686318972</c:v>
                </c:pt>
                <c:pt idx="106">
                  <c:v>0.624826908541194</c:v>
                </c:pt>
                <c:pt idx="107">
                  <c:v>0.636660241874528</c:v>
                </c:pt>
                <c:pt idx="108">
                  <c:v>0.648604686318972</c:v>
                </c:pt>
                <c:pt idx="109">
                  <c:v>0.660660241874528</c:v>
                </c:pt>
                <c:pt idx="110">
                  <c:v>0.672826908541194</c:v>
                </c:pt>
                <c:pt idx="111">
                  <c:v>0.685104686318972</c:v>
                </c:pt>
                <c:pt idx="112">
                  <c:v>0.697493575207861</c:v>
                </c:pt>
                <c:pt idx="113">
                  <c:v>0.709993575207861</c:v>
                </c:pt>
                <c:pt idx="114">
                  <c:v>0.722604686318972</c:v>
                </c:pt>
                <c:pt idx="115">
                  <c:v>0.735326908541194</c:v>
                </c:pt>
                <c:pt idx="116">
                  <c:v>0.748160241874528</c:v>
                </c:pt>
                <c:pt idx="117">
                  <c:v>0.761104686318972</c:v>
                </c:pt>
                <c:pt idx="118">
                  <c:v>0.774160241874528</c:v>
                </c:pt>
                <c:pt idx="119">
                  <c:v>0.787326908541194</c:v>
                </c:pt>
                <c:pt idx="120">
                  <c:v>0.800604686318972</c:v>
                </c:pt>
                <c:pt idx="121">
                  <c:v>0.813993575207861</c:v>
                </c:pt>
                <c:pt idx="122">
                  <c:v>0.827493575207861</c:v>
                </c:pt>
                <c:pt idx="123">
                  <c:v>0.841104686318973</c:v>
                </c:pt>
                <c:pt idx="124">
                  <c:v>0.854826908541195</c:v>
                </c:pt>
                <c:pt idx="125">
                  <c:v>0.868660241874528</c:v>
                </c:pt>
                <c:pt idx="126">
                  <c:v>0.882604686318972</c:v>
                </c:pt>
                <c:pt idx="127">
                  <c:v>0.896660241874528</c:v>
                </c:pt>
                <c:pt idx="128">
                  <c:v>0.910826908541194</c:v>
                </c:pt>
                <c:pt idx="129">
                  <c:v>0.925104686318972</c:v>
                </c:pt>
                <c:pt idx="130">
                  <c:v>0.939493575207861</c:v>
                </c:pt>
                <c:pt idx="131">
                  <c:v>0.953993575207861</c:v>
                </c:pt>
                <c:pt idx="132">
                  <c:v>0.968604686318972</c:v>
                </c:pt>
                <c:pt idx="133">
                  <c:v>0.983326908541195</c:v>
                </c:pt>
                <c:pt idx="134">
                  <c:v>0.998160241874528</c:v>
                </c:pt>
                <c:pt idx="135">
                  <c:v>1.01310468631897</c:v>
                </c:pt>
                <c:pt idx="136">
                  <c:v>1.02816024187453</c:v>
                </c:pt>
                <c:pt idx="137">
                  <c:v>1.04332690854119</c:v>
                </c:pt>
                <c:pt idx="138">
                  <c:v>1.05860468631897</c:v>
                </c:pt>
                <c:pt idx="139">
                  <c:v>1.07399357520786</c:v>
                </c:pt>
                <c:pt idx="140">
                  <c:v>1.08949357520786</c:v>
                </c:pt>
                <c:pt idx="141">
                  <c:v>1.10510468631897</c:v>
                </c:pt>
                <c:pt idx="142">
                  <c:v>1.1208269085412</c:v>
                </c:pt>
                <c:pt idx="143">
                  <c:v>1.13666024187453</c:v>
                </c:pt>
                <c:pt idx="144">
                  <c:v>1.15260468631897</c:v>
                </c:pt>
                <c:pt idx="145">
                  <c:v>1.16866024187453</c:v>
                </c:pt>
                <c:pt idx="146">
                  <c:v>1.18482690854119</c:v>
                </c:pt>
                <c:pt idx="147">
                  <c:v>1.20110468631897</c:v>
                </c:pt>
                <c:pt idx="148">
                  <c:v>1.21749357520786</c:v>
                </c:pt>
                <c:pt idx="149">
                  <c:v>1.23399357520786</c:v>
                </c:pt>
                <c:pt idx="150">
                  <c:v>1.25060468631897</c:v>
                </c:pt>
              </c:numCache>
            </c:numRef>
          </c:yVal>
          <c:smooth val="1"/>
        </c:ser>
        <c:dLbls>
          <c:showLegendKey val="0"/>
          <c:showVal val="0"/>
          <c:showCatName val="0"/>
          <c:showSerName val="0"/>
          <c:showPercent val="0"/>
          <c:showBubbleSize val="0"/>
        </c:dLbls>
        <c:axId val="174879488"/>
        <c:axId val="174877312"/>
      </c:scatterChart>
      <c:valAx>
        <c:axId val="174861312"/>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5392"/>
        <c:crosses val="autoZero"/>
        <c:crossBetween val="midCat"/>
      </c:valAx>
      <c:valAx>
        <c:axId val="174875392"/>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61312"/>
        <c:crosses val="autoZero"/>
        <c:crossBetween val="midCat"/>
      </c:valAx>
      <c:valAx>
        <c:axId val="174879488"/>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7312"/>
        <c:crosses val="autoZero"/>
        <c:crossBetween val="midCat"/>
      </c:valAx>
      <c:valAx>
        <c:axId val="174877312"/>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9488"/>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2cd760a-0aef-445a-9430-01ae95e28fab}"/>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Efficiency</a:t>
            </a:r>
            <a:endParaRPr lang="en-US"/>
          </a:p>
        </c:rich>
      </c:tx>
      <c:layout/>
      <c:overlay val="0"/>
    </c:title>
    <c:autoTitleDeleted val="0"/>
    <c:plotArea>
      <c:layout/>
      <c:scatterChart>
        <c:scatterStyle val="smooth"/>
        <c:varyColors val="0"/>
        <c:ser>
          <c:idx val="0"/>
          <c:order val="0"/>
          <c:tx>
            <c:strRef>
              <c:f>"Eff"</c:f>
              <c:strCache>
                <c:ptCount val="1"/>
                <c:pt idx="0">
                  <c:v>Eff</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Eff_vs_IOUT!$AT$7:$AT$157</c:f>
              <c:numCache>
                <c:formatCode>General</c:formatCode>
                <c:ptCount val="151"/>
                <c:pt idx="0">
                  <c:v>0</c:v>
                </c:pt>
                <c:pt idx="1">
                  <c:v>49.5667680831775</c:v>
                </c:pt>
                <c:pt idx="2">
                  <c:v>63.7182433104541</c:v>
                </c:pt>
                <c:pt idx="3">
                  <c:v>70.2177753497464</c:v>
                </c:pt>
                <c:pt idx="4">
                  <c:v>73.8210853140805</c:v>
                </c:pt>
                <c:pt idx="5">
                  <c:v>77.6040434474592</c:v>
                </c:pt>
                <c:pt idx="6">
                  <c:v>79.4308690691935</c:v>
                </c:pt>
                <c:pt idx="7">
                  <c:v>80.7698824929552</c:v>
                </c:pt>
                <c:pt idx="8">
                  <c:v>81.7867252372144</c:v>
                </c:pt>
                <c:pt idx="9">
                  <c:v>82.5796900122204</c:v>
                </c:pt>
                <c:pt idx="10">
                  <c:v>83.2107918146716</c:v>
                </c:pt>
                <c:pt idx="11">
                  <c:v>83.7210906834813</c:v>
                </c:pt>
                <c:pt idx="12">
                  <c:v>84.1388530934995</c:v>
                </c:pt>
                <c:pt idx="13">
                  <c:v>84.4841746245643</c:v>
                </c:pt>
                <c:pt idx="14">
                  <c:v>84.7717333568283</c:v>
                </c:pt>
                <c:pt idx="15">
                  <c:v>85.0125001721192</c:v>
                </c:pt>
                <c:pt idx="16">
                  <c:v>85.2148396066742</c:v>
                </c:pt>
                <c:pt idx="17">
                  <c:v>85.3852404174199</c:v>
                </c:pt>
                <c:pt idx="18">
                  <c:v>85.5288134573491</c:v>
                </c:pt>
                <c:pt idx="19">
                  <c:v>85.6496389674716</c:v>
                </c:pt>
                <c:pt idx="20">
                  <c:v>85.7510138703906</c:v>
                </c:pt>
                <c:pt idx="21">
                  <c:v>85.8356311194102</c:v>
                </c:pt>
                <c:pt idx="22">
                  <c:v>85.905711928742</c:v>
                </c:pt>
                <c:pt idx="23">
                  <c:v>85.9631047213018</c:v>
                </c:pt>
                <c:pt idx="24">
                  <c:v>86.0093601740081</c:v>
                </c:pt>
                <c:pt idx="25">
                  <c:v>86.0457888362531</c:v>
                </c:pt>
                <c:pt idx="26">
                  <c:v>86.0735058669109</c:v>
                </c:pt>
                <c:pt idx="27">
                  <c:v>86.0934661290042</c:v>
                </c:pt>
                <c:pt idx="28">
                  <c:v>86.1064919825793</c:v>
                </c:pt>
                <c:pt idx="29">
                  <c:v>86.1132954887973</c:v>
                </c:pt>
                <c:pt idx="30">
                  <c:v>86.1144962938627</c:v>
                </c:pt>
                <c:pt idx="31">
                  <c:v>86.1106361426357</c:v>
                </c:pt>
                <c:pt idx="32">
                  <c:v>86.1021907403754</c:v>
                </c:pt>
                <c:pt idx="33">
                  <c:v>86.0895795112025</c:v>
                </c:pt>
                <c:pt idx="34">
                  <c:v>86.0731736758949</c:v>
                </c:pt>
                <c:pt idx="35">
                  <c:v>86.0533029772928</c:v>
                </c:pt>
                <c:pt idx="36">
                  <c:v>86.0302613102951</c:v>
                </c:pt>
                <c:pt idx="37">
                  <c:v>86.0043114590992</c:v>
                </c:pt>
                <c:pt idx="38">
                  <c:v>85.9756891025907</c:v>
                </c:pt>
                <c:pt idx="39">
                  <c:v>85.9446062164783</c:v>
                </c:pt>
                <c:pt idx="40">
                  <c:v>85.9112539755778</c:v>
                </c:pt>
                <c:pt idx="41">
                  <c:v>85.8758052398757</c:v>
                </c:pt>
                <c:pt idx="42">
                  <c:v>85.8384166923874</c:v>
                </c:pt>
                <c:pt idx="43">
                  <c:v>85.7992306844089</c:v>
                </c:pt>
                <c:pt idx="44">
                  <c:v>85.7583768338449</c:v>
                </c:pt>
                <c:pt idx="45">
                  <c:v>85.7159734143216</c:v>
                </c:pt>
                <c:pt idx="46">
                  <c:v>85.6721285663501</c:v>
                </c:pt>
                <c:pt idx="47">
                  <c:v>85.6269413565811</c:v>
                </c:pt>
                <c:pt idx="48">
                  <c:v>85.5805027069239</c:v>
                </c:pt>
                <c:pt idx="49">
                  <c:v>85.5328962118068</c:v>
                </c:pt>
                <c:pt idx="50">
                  <c:v>85.4841988589822</c:v>
                </c:pt>
                <c:pt idx="51">
                  <c:v>85.4344816669014</c:v>
                </c:pt>
                <c:pt idx="52">
                  <c:v>85.3838102497111</c:v>
                </c:pt>
                <c:pt idx="53">
                  <c:v>85.332245319283</c:v>
                </c:pt>
                <c:pt idx="54">
                  <c:v>85.2798431323138</c:v>
                </c:pt>
                <c:pt idx="55">
                  <c:v>85.2266558893823</c:v>
                </c:pt>
                <c:pt idx="56">
                  <c:v>85.1727320918793</c:v>
                </c:pt>
                <c:pt idx="57">
                  <c:v>85.1181168619104</c:v>
                </c:pt>
                <c:pt idx="58">
                  <c:v>85.0628522295756</c:v>
                </c:pt>
                <c:pt idx="59">
                  <c:v>85.0069773914424</c:v>
                </c:pt>
                <c:pt idx="60">
                  <c:v>84.9505289435275</c:v>
                </c:pt>
                <c:pt idx="61">
                  <c:v>84.8935410916713</c:v>
                </c:pt>
                <c:pt idx="62">
                  <c:v>84.836045841826</c:v>
                </c:pt>
                <c:pt idx="63">
                  <c:v>84.7780731724563</c:v>
                </c:pt>
                <c:pt idx="64">
                  <c:v>84.7196511909881</c:v>
                </c:pt>
                <c:pt idx="65">
                  <c:v>84.6608062759969</c:v>
                </c:pt>
                <c:pt idx="66">
                  <c:v>84.6015632066335</c:v>
                </c:pt>
                <c:pt idx="67">
                  <c:v>84.5419452806003</c:v>
                </c:pt>
                <c:pt idx="68">
                  <c:v>84.4819744218453</c:v>
                </c:pt>
                <c:pt idx="69">
                  <c:v>84.4216712790029</c:v>
                </c:pt>
                <c:pt idx="70">
                  <c:v>84.3610553154959</c:v>
                </c:pt>
                <c:pt idx="71">
                  <c:v>84.3001448921123</c:v>
                </c:pt>
                <c:pt idx="72">
                  <c:v>84.2389573427792</c:v>
                </c:pt>
                <c:pt idx="73">
                  <c:v>84.177509044178</c:v>
                </c:pt>
                <c:pt idx="74">
                  <c:v>84.1158154797796</c:v>
                </c:pt>
                <c:pt idx="75">
                  <c:v>84.0538912988117</c:v>
                </c:pt>
                <c:pt idx="76">
                  <c:v>83.9917503706214</c:v>
                </c:pt>
                <c:pt idx="77">
                  <c:v>83.9294058348469</c:v>
                </c:pt>
                <c:pt idx="78">
                  <c:v>83.8668701477713</c:v>
                </c:pt>
                <c:pt idx="79">
                  <c:v>83.8041551251909</c:v>
                </c:pt>
                <c:pt idx="80">
                  <c:v>83.7412719821025</c:v>
                </c:pt>
                <c:pt idx="81">
                  <c:v>83.6782313694806</c:v>
                </c:pt>
                <c:pt idx="82">
                  <c:v>83.6150434083894</c:v>
                </c:pt>
                <c:pt idx="83">
                  <c:v>83.5517177216544</c:v>
                </c:pt>
                <c:pt idx="84">
                  <c:v>83.4882634632931</c:v>
                </c:pt>
                <c:pt idx="85">
                  <c:v>83.4246893458881</c:v>
                </c:pt>
                <c:pt idx="86">
                  <c:v>83.3610036660688</c:v>
                </c:pt>
                <c:pt idx="87">
                  <c:v>83.2972143282522</c:v>
                </c:pt>
                <c:pt idx="88">
                  <c:v>83.2333288667795</c:v>
                </c:pt>
                <c:pt idx="89">
                  <c:v>83.1693544665746</c:v>
                </c:pt>
                <c:pt idx="90">
                  <c:v>83.1052979824371</c:v>
                </c:pt>
                <c:pt idx="91">
                  <c:v>83.0411659570752</c:v>
                </c:pt>
                <c:pt idx="92">
                  <c:v>82.976964637972</c:v>
                </c:pt>
                <c:pt idx="93">
                  <c:v>82.912699993174</c:v>
                </c:pt>
                <c:pt idx="94">
                  <c:v>82.8483777260797</c:v>
                </c:pt>
                <c:pt idx="95">
                  <c:v>82.7840032893026</c:v>
                </c:pt>
                <c:pt idx="96">
                  <c:v>82.7195818976744</c:v>
                </c:pt>
                <c:pt idx="97">
                  <c:v>82.6551185404508</c:v>
                </c:pt>
                <c:pt idx="98">
                  <c:v>82.5906179927764</c:v>
                </c:pt>
                <c:pt idx="99">
                  <c:v>82.5260848264598</c:v>
                </c:pt>
                <c:pt idx="100">
                  <c:v>82.4615234201071</c:v>
                </c:pt>
                <c:pt idx="101">
                  <c:v>82.396937968659</c:v>
                </c:pt>
                <c:pt idx="102">
                  <c:v>82.3323324923704</c:v>
                </c:pt>
                <c:pt idx="103">
                  <c:v>82.2677108452713</c:v>
                </c:pt>
                <c:pt idx="104">
                  <c:v>82.2030767231427</c:v>
                </c:pt>
                <c:pt idx="105">
                  <c:v>82.138433671041</c:v>
                </c:pt>
                <c:pt idx="106">
                  <c:v>82.0737850903986</c:v>
                </c:pt>
                <c:pt idx="107">
                  <c:v>82.0091342457297</c:v>
                </c:pt>
                <c:pt idx="108">
                  <c:v>81.9444842709665</c:v>
                </c:pt>
                <c:pt idx="109">
                  <c:v>81.8798381754482</c:v>
                </c:pt>
                <c:pt idx="110">
                  <c:v>81.8151988495861</c:v>
                </c:pt>
                <c:pt idx="111">
                  <c:v>81.7505690702249</c:v>
                </c:pt>
                <c:pt idx="112">
                  <c:v>81.6859515057176</c:v>
                </c:pt>
                <c:pt idx="113">
                  <c:v>81.621348720734</c:v>
                </c:pt>
                <c:pt idx="114">
                  <c:v>81.5567631808167</c:v>
                </c:pt>
                <c:pt idx="115">
                  <c:v>81.4921972567016</c:v>
                </c:pt>
                <c:pt idx="116">
                  <c:v>81.4276532284158</c:v>
                </c:pt>
                <c:pt idx="117">
                  <c:v>81.363133289167</c:v>
                </c:pt>
                <c:pt idx="118">
                  <c:v>81.2986395490362</c:v>
                </c:pt>
                <c:pt idx="119">
                  <c:v>81.2341740384854</c:v>
                </c:pt>
                <c:pt idx="120">
                  <c:v>81.1697387116905</c:v>
                </c:pt>
                <c:pt idx="121">
                  <c:v>81.1053354497107</c:v>
                </c:pt>
                <c:pt idx="122">
                  <c:v>81.0409660635022</c:v>
                </c:pt>
                <c:pt idx="123">
                  <c:v>80.9766322967856</c:v>
                </c:pt>
                <c:pt idx="124">
                  <c:v>80.9123358287762</c:v>
                </c:pt>
                <c:pt idx="125">
                  <c:v>80.848078276783</c:v>
                </c:pt>
                <c:pt idx="126">
                  <c:v>80.7838611986847</c:v>
                </c:pt>
                <c:pt idx="127">
                  <c:v>80.71968609529</c:v>
                </c:pt>
                <c:pt idx="128">
                  <c:v>80.6555544125871</c:v>
                </c:pt>
                <c:pt idx="129">
                  <c:v>80.5914675438892</c:v>
                </c:pt>
                <c:pt idx="130">
                  <c:v>80.5274268318817</c:v>
                </c:pt>
                <c:pt idx="131">
                  <c:v>80.4634335705756</c:v>
                </c:pt>
                <c:pt idx="132">
                  <c:v>80.3994890071733</c:v>
                </c:pt>
                <c:pt idx="133">
                  <c:v>80.3355943438496</c:v>
                </c:pt>
                <c:pt idx="134">
                  <c:v>80.2717507394541</c:v>
                </c:pt>
                <c:pt idx="135">
                  <c:v>80.2079593111376</c:v>
                </c:pt>
                <c:pt idx="136">
                  <c:v>80.1442211359077</c:v>
                </c:pt>
                <c:pt idx="137">
                  <c:v>80.0805372521159</c:v>
                </c:pt>
                <c:pt idx="138">
                  <c:v>80.0169086608804</c:v>
                </c:pt>
                <c:pt idx="139">
                  <c:v>79.9533363274484</c:v>
                </c:pt>
                <c:pt idx="140">
                  <c:v>79.8898211824991</c:v>
                </c:pt>
                <c:pt idx="141">
                  <c:v>79.8263641233923</c:v>
                </c:pt>
                <c:pt idx="142">
                  <c:v>79.7629660153638</c:v>
                </c:pt>
                <c:pt idx="143">
                  <c:v>79.6996276926715</c:v>
                </c:pt>
                <c:pt idx="144">
                  <c:v>79.636349959693</c:v>
                </c:pt>
                <c:pt idx="145">
                  <c:v>79.5731335919786</c:v>
                </c:pt>
                <c:pt idx="146">
                  <c:v>79.5099793372609</c:v>
                </c:pt>
                <c:pt idx="147">
                  <c:v>79.4468879164233</c:v>
                </c:pt>
                <c:pt idx="148">
                  <c:v>79.383860024429</c:v>
                </c:pt>
                <c:pt idx="149">
                  <c:v>79.3208963312133</c:v>
                </c:pt>
                <c:pt idx="150">
                  <c:v>79.2579974825398</c:v>
                </c:pt>
              </c:numCache>
            </c:numRef>
          </c:yVal>
          <c:smooth val="0"/>
        </c:ser>
        <c:dLbls>
          <c:showLegendKey val="0"/>
          <c:showVal val="0"/>
          <c:showCatName val="0"/>
          <c:showSerName val="0"/>
          <c:showPercent val="0"/>
          <c:showBubbleSize val="0"/>
        </c:dLbls>
        <c:axId val="175638784"/>
        <c:axId val="175648768"/>
      </c:scatterChart>
      <c:scatterChart>
        <c:scatterStyle val="smooth"/>
        <c:varyColors val="0"/>
        <c:ser>
          <c:idx val="1"/>
          <c:order val="1"/>
          <c:tx>
            <c:strRef>
              <c:f>"MOSFET"</c:f>
              <c:strCache>
                <c:ptCount val="1"/>
                <c:pt idx="0">
                  <c:v>MOSFET</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Eff_vs_IOUT!$AI$7:$AI$157</c:f>
              <c:numCache>
                <c:formatCode>General</c:formatCode>
                <c:ptCount val="151"/>
                <c:pt idx="0">
                  <c:v>0</c:v>
                </c:pt>
                <c:pt idx="1">
                  <c:v>0.0057086855717466</c:v>
                </c:pt>
                <c:pt idx="2">
                  <c:v>0.0124459314702256</c:v>
                </c:pt>
                <c:pt idx="3">
                  <c:v>0.0201644751176161</c:v>
                </c:pt>
                <c:pt idx="4">
                  <c:v>0.0288813920025693</c:v>
                </c:pt>
                <c:pt idx="5">
                  <c:v>0.0278681914873554</c:v>
                </c:pt>
                <c:pt idx="6">
                  <c:v>0.0337604238891349</c:v>
                </c:pt>
                <c:pt idx="7">
                  <c:v>0.039819322957581</c:v>
                </c:pt>
                <c:pt idx="8">
                  <c:v>0.0460448886926938</c:v>
                </c:pt>
                <c:pt idx="9">
                  <c:v>0.0524371210944733</c:v>
                </c:pt>
                <c:pt idx="10">
                  <c:v>0.0589960201629194</c:v>
                </c:pt>
                <c:pt idx="11">
                  <c:v>0.0657215858980322</c:v>
                </c:pt>
                <c:pt idx="12">
                  <c:v>0.0726138182998117</c:v>
                </c:pt>
                <c:pt idx="13">
                  <c:v>0.0796727173682578</c:v>
                </c:pt>
                <c:pt idx="14">
                  <c:v>0.0868982831033706</c:v>
                </c:pt>
                <c:pt idx="15">
                  <c:v>0.0942905155051501</c:v>
                </c:pt>
                <c:pt idx="16">
                  <c:v>0.101849414573596</c:v>
                </c:pt>
                <c:pt idx="17">
                  <c:v>0.109574980308709</c:v>
                </c:pt>
                <c:pt idx="18">
                  <c:v>0.117467212710489</c:v>
                </c:pt>
                <c:pt idx="19">
                  <c:v>0.125526111778935</c:v>
                </c:pt>
                <c:pt idx="20">
                  <c:v>0.133751677514047</c:v>
                </c:pt>
                <c:pt idx="21">
                  <c:v>0.142143909915827</c:v>
                </c:pt>
                <c:pt idx="22">
                  <c:v>0.150702808984273</c:v>
                </c:pt>
                <c:pt idx="23">
                  <c:v>0.159428374719386</c:v>
                </c:pt>
                <c:pt idx="24">
                  <c:v>0.168320607121165</c:v>
                </c:pt>
                <c:pt idx="25">
                  <c:v>0.177379506189611</c:v>
                </c:pt>
                <c:pt idx="26">
                  <c:v>0.186605071924724</c:v>
                </c:pt>
                <c:pt idx="27">
                  <c:v>0.195997304326504</c:v>
                </c:pt>
                <c:pt idx="28">
                  <c:v>0.20555620339495</c:v>
                </c:pt>
                <c:pt idx="29">
                  <c:v>0.215281769130063</c:v>
                </c:pt>
                <c:pt idx="30">
                  <c:v>0.225174001531842</c:v>
                </c:pt>
                <c:pt idx="31">
                  <c:v>0.235232900600288</c:v>
                </c:pt>
                <c:pt idx="32">
                  <c:v>0.245458466335401</c:v>
                </c:pt>
                <c:pt idx="33">
                  <c:v>0.255850698737181</c:v>
                </c:pt>
                <c:pt idx="34">
                  <c:v>0.266409597805627</c:v>
                </c:pt>
                <c:pt idx="35">
                  <c:v>0.27713516354074</c:v>
                </c:pt>
                <c:pt idx="36">
                  <c:v>0.288027395942519</c:v>
                </c:pt>
                <c:pt idx="37">
                  <c:v>0.299086295010965</c:v>
                </c:pt>
                <c:pt idx="38">
                  <c:v>0.310311860746078</c:v>
                </c:pt>
                <c:pt idx="39">
                  <c:v>0.321704093147857</c:v>
                </c:pt>
                <c:pt idx="40">
                  <c:v>0.333262992216304</c:v>
                </c:pt>
                <c:pt idx="41">
                  <c:v>0.344988557951416</c:v>
                </c:pt>
                <c:pt idx="42">
                  <c:v>0.356880790353196</c:v>
                </c:pt>
                <c:pt idx="43">
                  <c:v>0.368939689421642</c:v>
                </c:pt>
                <c:pt idx="44">
                  <c:v>0.381165255156755</c:v>
                </c:pt>
                <c:pt idx="45">
                  <c:v>0.393557487558534</c:v>
                </c:pt>
                <c:pt idx="46">
                  <c:v>0.40611638662698</c:v>
                </c:pt>
                <c:pt idx="47">
                  <c:v>0.418841952362093</c:v>
                </c:pt>
                <c:pt idx="48">
                  <c:v>0.431734184763873</c:v>
                </c:pt>
                <c:pt idx="49">
                  <c:v>0.444793083832319</c:v>
                </c:pt>
                <c:pt idx="50">
                  <c:v>0.458018649567432</c:v>
                </c:pt>
                <c:pt idx="51">
                  <c:v>0.471410881969211</c:v>
                </c:pt>
                <c:pt idx="52">
                  <c:v>0.484969781037657</c:v>
                </c:pt>
                <c:pt idx="53">
                  <c:v>0.49869534677277</c:v>
                </c:pt>
                <c:pt idx="54">
                  <c:v>0.51258757917455</c:v>
                </c:pt>
                <c:pt idx="55">
                  <c:v>0.526646478242996</c:v>
                </c:pt>
                <c:pt idx="56">
                  <c:v>0.540872043978108</c:v>
                </c:pt>
                <c:pt idx="57">
                  <c:v>0.555264276379888</c:v>
                </c:pt>
                <c:pt idx="58">
                  <c:v>0.569823175448334</c:v>
                </c:pt>
                <c:pt idx="59">
                  <c:v>0.584548741183447</c:v>
                </c:pt>
                <c:pt idx="60">
                  <c:v>0.599440973585226</c:v>
                </c:pt>
                <c:pt idx="61">
                  <c:v>0.614499872653672</c:v>
                </c:pt>
                <c:pt idx="62">
                  <c:v>0.629725438388785</c:v>
                </c:pt>
                <c:pt idx="63">
                  <c:v>0.645117670790565</c:v>
                </c:pt>
                <c:pt idx="64">
                  <c:v>0.660676569859011</c:v>
                </c:pt>
                <c:pt idx="65">
                  <c:v>0.676402135594124</c:v>
                </c:pt>
                <c:pt idx="66">
                  <c:v>0.692294367995903</c:v>
                </c:pt>
                <c:pt idx="67">
                  <c:v>0.708353267064349</c:v>
                </c:pt>
                <c:pt idx="68">
                  <c:v>0.724578832799462</c:v>
                </c:pt>
                <c:pt idx="69">
                  <c:v>0.740971065201242</c:v>
                </c:pt>
                <c:pt idx="70">
                  <c:v>0.757529964269688</c:v>
                </c:pt>
                <c:pt idx="71">
                  <c:v>0.774255530004801</c:v>
                </c:pt>
                <c:pt idx="72">
                  <c:v>0.79114776240658</c:v>
                </c:pt>
                <c:pt idx="73">
                  <c:v>0.808206661475026</c:v>
                </c:pt>
                <c:pt idx="74">
                  <c:v>0.825432227210139</c:v>
                </c:pt>
                <c:pt idx="75">
                  <c:v>0.842824459611918</c:v>
                </c:pt>
                <c:pt idx="76">
                  <c:v>0.860383358680364</c:v>
                </c:pt>
                <c:pt idx="77">
                  <c:v>0.878108924415477</c:v>
                </c:pt>
                <c:pt idx="78">
                  <c:v>0.896001156817257</c:v>
                </c:pt>
                <c:pt idx="79">
                  <c:v>0.914060055885703</c:v>
                </c:pt>
                <c:pt idx="80">
                  <c:v>0.932285621620816</c:v>
                </c:pt>
                <c:pt idx="81">
                  <c:v>0.950677854022595</c:v>
                </c:pt>
                <c:pt idx="82">
                  <c:v>0.969236753091041</c:v>
                </c:pt>
                <c:pt idx="83">
                  <c:v>0.987962318826154</c:v>
                </c:pt>
                <c:pt idx="84">
                  <c:v>1.00685455122793</c:v>
                </c:pt>
                <c:pt idx="85">
                  <c:v>1.02591345029638</c:v>
                </c:pt>
                <c:pt idx="86">
                  <c:v>1.04513901603149</c:v>
                </c:pt>
                <c:pt idx="87">
                  <c:v>1.06453124843327</c:v>
                </c:pt>
                <c:pt idx="88">
                  <c:v>1.08409014750172</c:v>
                </c:pt>
                <c:pt idx="89">
                  <c:v>1.10381571323683</c:v>
                </c:pt>
                <c:pt idx="90">
                  <c:v>1.12370794563861</c:v>
                </c:pt>
                <c:pt idx="91">
                  <c:v>1.14376684470706</c:v>
                </c:pt>
                <c:pt idx="92">
                  <c:v>1.16399241044217</c:v>
                </c:pt>
                <c:pt idx="93">
                  <c:v>1.18438464284395</c:v>
                </c:pt>
                <c:pt idx="94">
                  <c:v>1.2049435419124</c:v>
                </c:pt>
                <c:pt idx="95">
                  <c:v>1.22566910764751</c:v>
                </c:pt>
                <c:pt idx="96">
                  <c:v>1.24656134004929</c:v>
                </c:pt>
                <c:pt idx="97">
                  <c:v>1.26762023911773</c:v>
                </c:pt>
                <c:pt idx="98">
                  <c:v>1.28884580485285</c:v>
                </c:pt>
                <c:pt idx="99">
                  <c:v>1.31023803725463</c:v>
                </c:pt>
                <c:pt idx="100">
                  <c:v>1.33179693632307</c:v>
                </c:pt>
                <c:pt idx="101">
                  <c:v>1.35352250205818</c:v>
                </c:pt>
                <c:pt idx="102">
                  <c:v>1.37541473445996</c:v>
                </c:pt>
                <c:pt idx="103">
                  <c:v>1.39747363352841</c:v>
                </c:pt>
                <c:pt idx="104">
                  <c:v>1.41969919926352</c:v>
                </c:pt>
                <c:pt idx="105">
                  <c:v>1.4420914316653</c:v>
                </c:pt>
                <c:pt idx="106">
                  <c:v>1.46465033073375</c:v>
                </c:pt>
                <c:pt idx="107">
                  <c:v>1.48737589646886</c:v>
                </c:pt>
                <c:pt idx="108">
                  <c:v>1.51026812887064</c:v>
                </c:pt>
                <c:pt idx="109">
                  <c:v>1.53332702793909</c:v>
                </c:pt>
                <c:pt idx="110">
                  <c:v>1.5565525936742</c:v>
                </c:pt>
                <c:pt idx="111">
                  <c:v>1.57994482607598</c:v>
                </c:pt>
                <c:pt idx="112">
                  <c:v>1.60350372514443</c:v>
                </c:pt>
                <c:pt idx="113">
                  <c:v>1.62722929087954</c:v>
                </c:pt>
                <c:pt idx="114">
                  <c:v>1.65112152328132</c:v>
                </c:pt>
                <c:pt idx="115">
                  <c:v>1.67518042234976</c:v>
                </c:pt>
                <c:pt idx="116">
                  <c:v>1.69940598808488</c:v>
                </c:pt>
                <c:pt idx="117">
                  <c:v>1.72379822048666</c:v>
                </c:pt>
                <c:pt idx="118">
                  <c:v>1.7483571195551</c:v>
                </c:pt>
                <c:pt idx="119">
                  <c:v>1.77308268529022</c:v>
                </c:pt>
                <c:pt idx="120">
                  <c:v>1.79797491769199</c:v>
                </c:pt>
                <c:pt idx="121">
                  <c:v>1.82303381676044</c:v>
                </c:pt>
                <c:pt idx="122">
                  <c:v>1.84825938249555</c:v>
                </c:pt>
                <c:pt idx="123">
                  <c:v>1.87365161489733</c:v>
                </c:pt>
                <c:pt idx="124">
                  <c:v>1.89921051396578</c:v>
                </c:pt>
                <c:pt idx="125">
                  <c:v>1.92493607970089</c:v>
                </c:pt>
                <c:pt idx="126">
                  <c:v>1.95082831210267</c:v>
                </c:pt>
                <c:pt idx="127">
                  <c:v>1.97688721117112</c:v>
                </c:pt>
                <c:pt idx="128">
                  <c:v>2.00311277690623</c:v>
                </c:pt>
                <c:pt idx="129">
                  <c:v>2.02950500930801</c:v>
                </c:pt>
                <c:pt idx="130">
                  <c:v>2.05606390837646</c:v>
                </c:pt>
                <c:pt idx="131">
                  <c:v>2.08278947411157</c:v>
                </c:pt>
                <c:pt idx="132">
                  <c:v>2.10968170651335</c:v>
                </c:pt>
                <c:pt idx="133">
                  <c:v>2.13674060558179</c:v>
                </c:pt>
                <c:pt idx="134">
                  <c:v>2.16396617131691</c:v>
                </c:pt>
                <c:pt idx="135">
                  <c:v>2.19135840371869</c:v>
                </c:pt>
                <c:pt idx="136">
                  <c:v>2.21891730278713</c:v>
                </c:pt>
                <c:pt idx="137">
                  <c:v>2.24664286852225</c:v>
                </c:pt>
                <c:pt idx="138">
                  <c:v>2.27453510092403</c:v>
                </c:pt>
                <c:pt idx="139">
                  <c:v>2.30259399999247</c:v>
                </c:pt>
                <c:pt idx="140">
                  <c:v>2.33081956572758</c:v>
                </c:pt>
                <c:pt idx="141">
                  <c:v>2.35921179812936</c:v>
                </c:pt>
                <c:pt idx="142">
                  <c:v>2.38777069719781</c:v>
                </c:pt>
                <c:pt idx="143">
                  <c:v>2.41649626293292</c:v>
                </c:pt>
                <c:pt idx="144">
                  <c:v>2.4453884953347</c:v>
                </c:pt>
                <c:pt idx="145">
                  <c:v>2.47444739440315</c:v>
                </c:pt>
                <c:pt idx="146">
                  <c:v>2.50367296013826</c:v>
                </c:pt>
                <c:pt idx="147">
                  <c:v>2.53306519254004</c:v>
                </c:pt>
                <c:pt idx="148">
                  <c:v>2.56262409160849</c:v>
                </c:pt>
                <c:pt idx="149">
                  <c:v>2.5923496573436</c:v>
                </c:pt>
                <c:pt idx="150">
                  <c:v>2.62224188974538</c:v>
                </c:pt>
              </c:numCache>
            </c:numRef>
          </c:yVal>
          <c:smooth val="1"/>
        </c:ser>
        <c:ser>
          <c:idx val="2"/>
          <c:order val="2"/>
          <c:tx>
            <c:strRef>
              <c:f>"Diode"</c:f>
              <c:strCache>
                <c:ptCount val="1"/>
                <c:pt idx="0">
                  <c:v>Diode</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Eff_vs_IOUT!$AN$7:$AN$157</c:f>
              <c:numCache>
                <c:formatCode>General</c:formatCode>
                <c:ptCount val="151"/>
                <c:pt idx="0">
                  <c:v>0</c:v>
                </c:pt>
                <c:pt idx="1">
                  <c:v>0.00826666666666667</c:v>
                </c:pt>
                <c:pt idx="2">
                  <c:v>0.0165333333333333</c:v>
                </c:pt>
                <c:pt idx="3">
                  <c:v>0.0248</c:v>
                </c:pt>
                <c:pt idx="4">
                  <c:v>0.0330666666666667</c:v>
                </c:pt>
                <c:pt idx="5">
                  <c:v>0.0413333333333333</c:v>
                </c:pt>
                <c:pt idx="6">
                  <c:v>0.0496</c:v>
                </c:pt>
                <c:pt idx="7">
                  <c:v>0.0578666666666667</c:v>
                </c:pt>
                <c:pt idx="8">
                  <c:v>0.0661333333333333</c:v>
                </c:pt>
                <c:pt idx="9">
                  <c:v>0.0744</c:v>
                </c:pt>
                <c:pt idx="10">
                  <c:v>0.0826666666666667</c:v>
                </c:pt>
                <c:pt idx="11">
                  <c:v>0.0909333333333333</c:v>
                </c:pt>
                <c:pt idx="12">
                  <c:v>0.0992</c:v>
                </c:pt>
                <c:pt idx="13">
                  <c:v>0.107466666666667</c:v>
                </c:pt>
                <c:pt idx="14">
                  <c:v>0.115733333333333</c:v>
                </c:pt>
                <c:pt idx="15">
                  <c:v>0.124</c:v>
                </c:pt>
                <c:pt idx="16">
                  <c:v>0.132266666666667</c:v>
                </c:pt>
                <c:pt idx="17">
                  <c:v>0.140533333333333</c:v>
                </c:pt>
                <c:pt idx="18">
                  <c:v>0.1488</c:v>
                </c:pt>
                <c:pt idx="19">
                  <c:v>0.157066666666667</c:v>
                </c:pt>
                <c:pt idx="20">
                  <c:v>0.165333333333333</c:v>
                </c:pt>
                <c:pt idx="21">
                  <c:v>0.1736</c:v>
                </c:pt>
                <c:pt idx="22">
                  <c:v>0.181866666666667</c:v>
                </c:pt>
                <c:pt idx="23">
                  <c:v>0.190133333333333</c:v>
                </c:pt>
                <c:pt idx="24">
                  <c:v>0.1984</c:v>
                </c:pt>
                <c:pt idx="25">
                  <c:v>0.206666666666667</c:v>
                </c:pt>
                <c:pt idx="26">
                  <c:v>0.214933333333333</c:v>
                </c:pt>
                <c:pt idx="27">
                  <c:v>0.2232</c:v>
                </c:pt>
                <c:pt idx="28">
                  <c:v>0.231466666666667</c:v>
                </c:pt>
                <c:pt idx="29">
                  <c:v>0.239733333333333</c:v>
                </c:pt>
                <c:pt idx="30">
                  <c:v>0.248</c:v>
                </c:pt>
                <c:pt idx="31">
                  <c:v>0.256266666666667</c:v>
                </c:pt>
                <c:pt idx="32">
                  <c:v>0.264533333333333</c:v>
                </c:pt>
                <c:pt idx="33">
                  <c:v>0.2728</c:v>
                </c:pt>
                <c:pt idx="34">
                  <c:v>0.281066666666667</c:v>
                </c:pt>
                <c:pt idx="35">
                  <c:v>0.289333333333333</c:v>
                </c:pt>
                <c:pt idx="36">
                  <c:v>0.2976</c:v>
                </c:pt>
                <c:pt idx="37">
                  <c:v>0.305866666666667</c:v>
                </c:pt>
                <c:pt idx="38">
                  <c:v>0.314133333333333</c:v>
                </c:pt>
                <c:pt idx="39">
                  <c:v>0.3224</c:v>
                </c:pt>
                <c:pt idx="40">
                  <c:v>0.330666666666667</c:v>
                </c:pt>
                <c:pt idx="41">
                  <c:v>0.338933333333333</c:v>
                </c:pt>
                <c:pt idx="42">
                  <c:v>0.3472</c:v>
                </c:pt>
                <c:pt idx="43">
                  <c:v>0.355466666666667</c:v>
                </c:pt>
                <c:pt idx="44">
                  <c:v>0.363733333333333</c:v>
                </c:pt>
                <c:pt idx="45">
                  <c:v>0.372</c:v>
                </c:pt>
                <c:pt idx="46">
                  <c:v>0.380266666666667</c:v>
                </c:pt>
                <c:pt idx="47">
                  <c:v>0.388533333333333</c:v>
                </c:pt>
                <c:pt idx="48">
                  <c:v>0.3968</c:v>
                </c:pt>
                <c:pt idx="49">
                  <c:v>0.405066666666667</c:v>
                </c:pt>
                <c:pt idx="50">
                  <c:v>0.413333333333333</c:v>
                </c:pt>
                <c:pt idx="51">
                  <c:v>0.4216</c:v>
                </c:pt>
                <c:pt idx="52">
                  <c:v>0.429866666666667</c:v>
                </c:pt>
                <c:pt idx="53">
                  <c:v>0.438133333333333</c:v>
                </c:pt>
                <c:pt idx="54">
                  <c:v>0.4464</c:v>
                </c:pt>
                <c:pt idx="55">
                  <c:v>0.454666666666667</c:v>
                </c:pt>
                <c:pt idx="56">
                  <c:v>0.462933333333333</c:v>
                </c:pt>
                <c:pt idx="57">
                  <c:v>0.4712</c:v>
                </c:pt>
                <c:pt idx="58">
                  <c:v>0.479466666666667</c:v>
                </c:pt>
                <c:pt idx="59">
                  <c:v>0.487733333333333</c:v>
                </c:pt>
                <c:pt idx="60">
                  <c:v>0.496</c:v>
                </c:pt>
                <c:pt idx="61">
                  <c:v>0.504266666666667</c:v>
                </c:pt>
                <c:pt idx="62">
                  <c:v>0.512533333333333</c:v>
                </c:pt>
                <c:pt idx="63">
                  <c:v>0.5208</c:v>
                </c:pt>
                <c:pt idx="64">
                  <c:v>0.529066666666667</c:v>
                </c:pt>
                <c:pt idx="65">
                  <c:v>0.537333333333333</c:v>
                </c:pt>
                <c:pt idx="66">
                  <c:v>0.5456</c:v>
                </c:pt>
                <c:pt idx="67">
                  <c:v>0.553866666666667</c:v>
                </c:pt>
                <c:pt idx="68">
                  <c:v>0.562133333333333</c:v>
                </c:pt>
                <c:pt idx="69">
                  <c:v>0.5704</c:v>
                </c:pt>
                <c:pt idx="70">
                  <c:v>0.578666666666667</c:v>
                </c:pt>
                <c:pt idx="71">
                  <c:v>0.586933333333333</c:v>
                </c:pt>
                <c:pt idx="72">
                  <c:v>0.5952</c:v>
                </c:pt>
                <c:pt idx="73">
                  <c:v>0.603466666666667</c:v>
                </c:pt>
                <c:pt idx="74">
                  <c:v>0.611733333333333</c:v>
                </c:pt>
                <c:pt idx="75">
                  <c:v>0.62</c:v>
                </c:pt>
                <c:pt idx="76">
                  <c:v>0.628266666666667</c:v>
                </c:pt>
                <c:pt idx="77">
                  <c:v>0.636533333333333</c:v>
                </c:pt>
                <c:pt idx="78">
                  <c:v>0.6448</c:v>
                </c:pt>
                <c:pt idx="79">
                  <c:v>0.653066666666667</c:v>
                </c:pt>
                <c:pt idx="80">
                  <c:v>0.661333333333333</c:v>
                </c:pt>
                <c:pt idx="81">
                  <c:v>0.6696</c:v>
                </c:pt>
                <c:pt idx="82">
                  <c:v>0.677866666666667</c:v>
                </c:pt>
                <c:pt idx="83">
                  <c:v>0.686133333333333</c:v>
                </c:pt>
                <c:pt idx="84">
                  <c:v>0.6944</c:v>
                </c:pt>
                <c:pt idx="85">
                  <c:v>0.702666666666667</c:v>
                </c:pt>
                <c:pt idx="86">
                  <c:v>0.710933333333333</c:v>
                </c:pt>
                <c:pt idx="87">
                  <c:v>0.7192</c:v>
                </c:pt>
                <c:pt idx="88">
                  <c:v>0.727466666666667</c:v>
                </c:pt>
                <c:pt idx="89">
                  <c:v>0.735733333333333</c:v>
                </c:pt>
                <c:pt idx="90">
                  <c:v>0.744</c:v>
                </c:pt>
                <c:pt idx="91">
                  <c:v>0.752266666666667</c:v>
                </c:pt>
                <c:pt idx="92">
                  <c:v>0.760533333333333</c:v>
                </c:pt>
                <c:pt idx="93">
                  <c:v>0.7688</c:v>
                </c:pt>
                <c:pt idx="94">
                  <c:v>0.777066666666667</c:v>
                </c:pt>
                <c:pt idx="95">
                  <c:v>0.785333333333333</c:v>
                </c:pt>
                <c:pt idx="96">
                  <c:v>0.7936</c:v>
                </c:pt>
                <c:pt idx="97">
                  <c:v>0.801866666666667</c:v>
                </c:pt>
                <c:pt idx="98">
                  <c:v>0.810133333333333</c:v>
                </c:pt>
                <c:pt idx="99">
                  <c:v>0.8184</c:v>
                </c:pt>
                <c:pt idx="100">
                  <c:v>0.826666666666667</c:v>
                </c:pt>
                <c:pt idx="101">
                  <c:v>0.834933333333333</c:v>
                </c:pt>
                <c:pt idx="102">
                  <c:v>0.8432</c:v>
                </c:pt>
                <c:pt idx="103">
                  <c:v>0.851466666666667</c:v>
                </c:pt>
                <c:pt idx="104">
                  <c:v>0.859733333333333</c:v>
                </c:pt>
                <c:pt idx="105">
                  <c:v>0.868</c:v>
                </c:pt>
                <c:pt idx="106">
                  <c:v>0.876266666666667</c:v>
                </c:pt>
                <c:pt idx="107">
                  <c:v>0.884533333333333</c:v>
                </c:pt>
                <c:pt idx="108">
                  <c:v>0.8928</c:v>
                </c:pt>
                <c:pt idx="109">
                  <c:v>0.901066666666667</c:v>
                </c:pt>
                <c:pt idx="110">
                  <c:v>0.909333333333333</c:v>
                </c:pt>
                <c:pt idx="111">
                  <c:v>0.9176</c:v>
                </c:pt>
                <c:pt idx="112">
                  <c:v>0.925866666666667</c:v>
                </c:pt>
                <c:pt idx="113">
                  <c:v>0.934133333333333</c:v>
                </c:pt>
                <c:pt idx="114">
                  <c:v>0.9424</c:v>
                </c:pt>
                <c:pt idx="115">
                  <c:v>0.950666666666667</c:v>
                </c:pt>
                <c:pt idx="116">
                  <c:v>0.958933333333333</c:v>
                </c:pt>
                <c:pt idx="117">
                  <c:v>0.9672</c:v>
                </c:pt>
                <c:pt idx="118">
                  <c:v>0.975466666666667</c:v>
                </c:pt>
                <c:pt idx="119">
                  <c:v>0.983733333333333</c:v>
                </c:pt>
                <c:pt idx="120">
                  <c:v>0.992</c:v>
                </c:pt>
                <c:pt idx="121">
                  <c:v>1.00026666666667</c:v>
                </c:pt>
                <c:pt idx="122">
                  <c:v>1.00853333333333</c:v>
                </c:pt>
                <c:pt idx="123">
                  <c:v>1.0168</c:v>
                </c:pt>
                <c:pt idx="124">
                  <c:v>1.02506666666667</c:v>
                </c:pt>
                <c:pt idx="125">
                  <c:v>1.03333333333333</c:v>
                </c:pt>
                <c:pt idx="126">
                  <c:v>1.0416</c:v>
                </c:pt>
                <c:pt idx="127">
                  <c:v>1.04986666666667</c:v>
                </c:pt>
                <c:pt idx="128">
                  <c:v>1.05813333333333</c:v>
                </c:pt>
                <c:pt idx="129">
                  <c:v>1.0664</c:v>
                </c:pt>
                <c:pt idx="130">
                  <c:v>1.07466666666667</c:v>
                </c:pt>
                <c:pt idx="131">
                  <c:v>1.08293333333333</c:v>
                </c:pt>
                <c:pt idx="132">
                  <c:v>1.0912</c:v>
                </c:pt>
                <c:pt idx="133">
                  <c:v>1.09946666666667</c:v>
                </c:pt>
                <c:pt idx="134">
                  <c:v>1.10773333333333</c:v>
                </c:pt>
                <c:pt idx="135">
                  <c:v>1.116</c:v>
                </c:pt>
                <c:pt idx="136">
                  <c:v>1.12426666666667</c:v>
                </c:pt>
                <c:pt idx="137">
                  <c:v>1.13253333333333</c:v>
                </c:pt>
                <c:pt idx="138">
                  <c:v>1.1408</c:v>
                </c:pt>
                <c:pt idx="139">
                  <c:v>1.14906666666667</c:v>
                </c:pt>
                <c:pt idx="140">
                  <c:v>1.15733333333333</c:v>
                </c:pt>
                <c:pt idx="141">
                  <c:v>1.1656</c:v>
                </c:pt>
                <c:pt idx="142">
                  <c:v>1.17386666666667</c:v>
                </c:pt>
                <c:pt idx="143">
                  <c:v>1.18213333333333</c:v>
                </c:pt>
                <c:pt idx="144">
                  <c:v>1.1904</c:v>
                </c:pt>
                <c:pt idx="145">
                  <c:v>1.19866666666667</c:v>
                </c:pt>
                <c:pt idx="146">
                  <c:v>1.20693333333333</c:v>
                </c:pt>
                <c:pt idx="147">
                  <c:v>1.2152</c:v>
                </c:pt>
                <c:pt idx="148">
                  <c:v>1.22346666666667</c:v>
                </c:pt>
                <c:pt idx="149">
                  <c:v>1.23173333333333</c:v>
                </c:pt>
                <c:pt idx="150">
                  <c:v>1.24</c:v>
                </c:pt>
              </c:numCache>
            </c:numRef>
          </c:yVal>
          <c:smooth val="1"/>
        </c:ser>
        <c:ser>
          <c:idx val="3"/>
          <c:order val="3"/>
          <c:tx>
            <c:strRef>
              <c:f>"RCS"</c:f>
              <c:strCache>
                <c:ptCount val="1"/>
                <c:pt idx="0">
                  <c:v>RCS</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Eff_vs_IOUT!$AO$7:$AO$157</c:f>
              <c:numCache>
                <c:formatCode>General</c:formatCode>
                <c:ptCount val="151"/>
                <c:pt idx="0">
                  <c:v>0</c:v>
                </c:pt>
                <c:pt idx="1">
                  <c:v>0.000488746557755868</c:v>
                </c:pt>
                <c:pt idx="2">
                  <c:v>0.0016632</c:v>
                </c:pt>
                <c:pt idx="3">
                  <c:v>0.00349185194151847</c:v>
                </c:pt>
                <c:pt idx="4">
                  <c:v>0.00598608604141207</c:v>
                </c:pt>
                <c:pt idx="5">
                  <c:v>0.00199357520786092</c:v>
                </c:pt>
                <c:pt idx="6">
                  <c:v>0.00260468631897203</c:v>
                </c:pt>
                <c:pt idx="7">
                  <c:v>0.00332690854119426</c:v>
                </c:pt>
                <c:pt idx="8">
                  <c:v>0.00416024187452759</c:v>
                </c:pt>
                <c:pt idx="9">
                  <c:v>0.00510468631897204</c:v>
                </c:pt>
                <c:pt idx="10">
                  <c:v>0.00616024187452759</c:v>
                </c:pt>
                <c:pt idx="11">
                  <c:v>0.00732690854119426</c:v>
                </c:pt>
                <c:pt idx="12">
                  <c:v>0.00860468631897203</c:v>
                </c:pt>
                <c:pt idx="13">
                  <c:v>0.00999357520786092</c:v>
                </c:pt>
                <c:pt idx="14">
                  <c:v>0.0114935752078609</c:v>
                </c:pt>
                <c:pt idx="15">
                  <c:v>0.013104686318972</c:v>
                </c:pt>
                <c:pt idx="16">
                  <c:v>0.0148269085411943</c:v>
                </c:pt>
                <c:pt idx="17">
                  <c:v>0.0166602418745276</c:v>
                </c:pt>
                <c:pt idx="18">
                  <c:v>0.018604686318972</c:v>
                </c:pt>
                <c:pt idx="19">
                  <c:v>0.0206602418745276</c:v>
                </c:pt>
                <c:pt idx="20">
                  <c:v>0.0228269085411943</c:v>
                </c:pt>
                <c:pt idx="21">
                  <c:v>0.025104686318972</c:v>
                </c:pt>
                <c:pt idx="22">
                  <c:v>0.0274935752078609</c:v>
                </c:pt>
                <c:pt idx="23">
                  <c:v>0.0299935752078609</c:v>
                </c:pt>
                <c:pt idx="24">
                  <c:v>0.032604686318972</c:v>
                </c:pt>
                <c:pt idx="25">
                  <c:v>0.0353269085411943</c:v>
                </c:pt>
                <c:pt idx="26">
                  <c:v>0.0381602418745276</c:v>
                </c:pt>
                <c:pt idx="27">
                  <c:v>0.041104686318972</c:v>
                </c:pt>
                <c:pt idx="28">
                  <c:v>0.0441602418745276</c:v>
                </c:pt>
                <c:pt idx="29">
                  <c:v>0.0473269085411943</c:v>
                </c:pt>
                <c:pt idx="30">
                  <c:v>0.050604686318972</c:v>
                </c:pt>
                <c:pt idx="31">
                  <c:v>0.0539935752078609</c:v>
                </c:pt>
                <c:pt idx="32">
                  <c:v>0.0574935752078609</c:v>
                </c:pt>
                <c:pt idx="33">
                  <c:v>0.061104686318972</c:v>
                </c:pt>
                <c:pt idx="34">
                  <c:v>0.0648269085411943</c:v>
                </c:pt>
                <c:pt idx="35">
                  <c:v>0.0686602418745276</c:v>
                </c:pt>
                <c:pt idx="36">
                  <c:v>0.0726046863189721</c:v>
                </c:pt>
                <c:pt idx="37">
                  <c:v>0.0766602418745276</c:v>
                </c:pt>
                <c:pt idx="38">
                  <c:v>0.0808269085411943</c:v>
                </c:pt>
                <c:pt idx="39">
                  <c:v>0.085104686318972</c:v>
                </c:pt>
                <c:pt idx="40">
                  <c:v>0.0894935752078609</c:v>
                </c:pt>
                <c:pt idx="41">
                  <c:v>0.093993575207861</c:v>
                </c:pt>
                <c:pt idx="42">
                  <c:v>0.0986046863189721</c:v>
                </c:pt>
                <c:pt idx="43">
                  <c:v>0.103326908541194</c:v>
                </c:pt>
                <c:pt idx="44">
                  <c:v>0.108160241874528</c:v>
                </c:pt>
                <c:pt idx="45">
                  <c:v>0.113104686318972</c:v>
                </c:pt>
                <c:pt idx="46">
                  <c:v>0.118160241874528</c:v>
                </c:pt>
                <c:pt idx="47">
                  <c:v>0.123326908541194</c:v>
                </c:pt>
                <c:pt idx="48">
                  <c:v>0.128604686318972</c:v>
                </c:pt>
                <c:pt idx="49">
                  <c:v>0.133993575207861</c:v>
                </c:pt>
                <c:pt idx="50">
                  <c:v>0.139493575207861</c:v>
                </c:pt>
                <c:pt idx="51">
                  <c:v>0.145104686318972</c:v>
                </c:pt>
                <c:pt idx="52">
                  <c:v>0.150826908541194</c:v>
                </c:pt>
                <c:pt idx="53">
                  <c:v>0.156660241874528</c:v>
                </c:pt>
                <c:pt idx="54">
                  <c:v>0.162604686318972</c:v>
                </c:pt>
                <c:pt idx="55">
                  <c:v>0.168660241874528</c:v>
                </c:pt>
                <c:pt idx="56">
                  <c:v>0.174826908541194</c:v>
                </c:pt>
                <c:pt idx="57">
                  <c:v>0.181104686318972</c:v>
                </c:pt>
                <c:pt idx="58">
                  <c:v>0.187493575207861</c:v>
                </c:pt>
                <c:pt idx="59">
                  <c:v>0.193993575207861</c:v>
                </c:pt>
                <c:pt idx="60">
                  <c:v>0.200604686318972</c:v>
                </c:pt>
                <c:pt idx="61">
                  <c:v>0.207326908541194</c:v>
                </c:pt>
                <c:pt idx="62">
                  <c:v>0.214160241874528</c:v>
                </c:pt>
                <c:pt idx="63">
                  <c:v>0.221104686318972</c:v>
                </c:pt>
                <c:pt idx="64">
                  <c:v>0.228160241874528</c:v>
                </c:pt>
                <c:pt idx="65">
                  <c:v>0.235326908541194</c:v>
                </c:pt>
                <c:pt idx="66">
                  <c:v>0.242604686318972</c:v>
                </c:pt>
                <c:pt idx="67">
                  <c:v>0.249993575207861</c:v>
                </c:pt>
                <c:pt idx="68">
                  <c:v>0.257493575207861</c:v>
                </c:pt>
                <c:pt idx="69">
                  <c:v>0.265104686318972</c:v>
                </c:pt>
                <c:pt idx="70">
                  <c:v>0.272826908541194</c:v>
                </c:pt>
                <c:pt idx="71">
                  <c:v>0.280660241874528</c:v>
                </c:pt>
                <c:pt idx="72">
                  <c:v>0.288604686318972</c:v>
                </c:pt>
                <c:pt idx="73">
                  <c:v>0.296660241874528</c:v>
                </c:pt>
                <c:pt idx="74">
                  <c:v>0.304826908541194</c:v>
                </c:pt>
                <c:pt idx="75">
                  <c:v>0.313104686318972</c:v>
                </c:pt>
                <c:pt idx="76">
                  <c:v>0.321493575207861</c:v>
                </c:pt>
                <c:pt idx="77">
                  <c:v>0.329993575207861</c:v>
                </c:pt>
                <c:pt idx="78">
                  <c:v>0.338604686318972</c:v>
                </c:pt>
                <c:pt idx="79">
                  <c:v>0.347326908541194</c:v>
                </c:pt>
                <c:pt idx="80">
                  <c:v>0.356160241874528</c:v>
                </c:pt>
                <c:pt idx="81">
                  <c:v>0.365104686318972</c:v>
                </c:pt>
                <c:pt idx="82">
                  <c:v>0.374160241874528</c:v>
                </c:pt>
                <c:pt idx="83">
                  <c:v>0.383326908541194</c:v>
                </c:pt>
                <c:pt idx="84">
                  <c:v>0.392604686318972</c:v>
                </c:pt>
                <c:pt idx="85">
                  <c:v>0.401993575207861</c:v>
                </c:pt>
                <c:pt idx="86">
                  <c:v>0.411493575207861</c:v>
                </c:pt>
                <c:pt idx="87">
                  <c:v>0.421104686318972</c:v>
                </c:pt>
                <c:pt idx="88">
                  <c:v>0.430826908541194</c:v>
                </c:pt>
                <c:pt idx="89">
                  <c:v>0.440660241874528</c:v>
                </c:pt>
                <c:pt idx="90">
                  <c:v>0.450604686318972</c:v>
                </c:pt>
                <c:pt idx="91">
                  <c:v>0.460660241874527</c:v>
                </c:pt>
                <c:pt idx="92">
                  <c:v>0.470826908541194</c:v>
                </c:pt>
                <c:pt idx="93">
                  <c:v>0.481104686318972</c:v>
                </c:pt>
                <c:pt idx="94">
                  <c:v>0.491493575207861</c:v>
                </c:pt>
                <c:pt idx="95">
                  <c:v>0.501993575207861</c:v>
                </c:pt>
                <c:pt idx="96">
                  <c:v>0.512604686318972</c:v>
                </c:pt>
                <c:pt idx="97">
                  <c:v>0.523326908541194</c:v>
                </c:pt>
                <c:pt idx="98">
                  <c:v>0.534160241874528</c:v>
                </c:pt>
                <c:pt idx="99">
                  <c:v>0.545104686318972</c:v>
                </c:pt>
                <c:pt idx="100">
                  <c:v>0.556160241874528</c:v>
                </c:pt>
                <c:pt idx="101">
                  <c:v>0.567326908541194</c:v>
                </c:pt>
                <c:pt idx="102">
                  <c:v>0.578604686318972</c:v>
                </c:pt>
                <c:pt idx="103">
                  <c:v>0.589993575207861</c:v>
                </c:pt>
                <c:pt idx="104">
                  <c:v>0.601493575207861</c:v>
                </c:pt>
                <c:pt idx="105">
                  <c:v>0.613104686318972</c:v>
                </c:pt>
                <c:pt idx="106">
                  <c:v>0.624826908541194</c:v>
                </c:pt>
                <c:pt idx="107">
                  <c:v>0.636660241874528</c:v>
                </c:pt>
                <c:pt idx="108">
                  <c:v>0.648604686318972</c:v>
                </c:pt>
                <c:pt idx="109">
                  <c:v>0.660660241874528</c:v>
                </c:pt>
                <c:pt idx="110">
                  <c:v>0.672826908541194</c:v>
                </c:pt>
                <c:pt idx="111">
                  <c:v>0.685104686318972</c:v>
                </c:pt>
                <c:pt idx="112">
                  <c:v>0.697493575207861</c:v>
                </c:pt>
                <c:pt idx="113">
                  <c:v>0.709993575207861</c:v>
                </c:pt>
                <c:pt idx="114">
                  <c:v>0.722604686318972</c:v>
                </c:pt>
                <c:pt idx="115">
                  <c:v>0.735326908541194</c:v>
                </c:pt>
                <c:pt idx="116">
                  <c:v>0.748160241874528</c:v>
                </c:pt>
                <c:pt idx="117">
                  <c:v>0.761104686318972</c:v>
                </c:pt>
                <c:pt idx="118">
                  <c:v>0.774160241874528</c:v>
                </c:pt>
                <c:pt idx="119">
                  <c:v>0.787326908541194</c:v>
                </c:pt>
                <c:pt idx="120">
                  <c:v>0.800604686318972</c:v>
                </c:pt>
                <c:pt idx="121">
                  <c:v>0.813993575207861</c:v>
                </c:pt>
                <c:pt idx="122">
                  <c:v>0.827493575207861</c:v>
                </c:pt>
                <c:pt idx="123">
                  <c:v>0.841104686318973</c:v>
                </c:pt>
                <c:pt idx="124">
                  <c:v>0.854826908541195</c:v>
                </c:pt>
                <c:pt idx="125">
                  <c:v>0.868660241874528</c:v>
                </c:pt>
                <c:pt idx="126">
                  <c:v>0.882604686318972</c:v>
                </c:pt>
                <c:pt idx="127">
                  <c:v>0.896660241874528</c:v>
                </c:pt>
                <c:pt idx="128">
                  <c:v>0.910826908541194</c:v>
                </c:pt>
                <c:pt idx="129">
                  <c:v>0.925104686318972</c:v>
                </c:pt>
                <c:pt idx="130">
                  <c:v>0.939493575207861</c:v>
                </c:pt>
                <c:pt idx="131">
                  <c:v>0.953993575207861</c:v>
                </c:pt>
                <c:pt idx="132">
                  <c:v>0.968604686318972</c:v>
                </c:pt>
                <c:pt idx="133">
                  <c:v>0.983326908541195</c:v>
                </c:pt>
                <c:pt idx="134">
                  <c:v>0.998160241874528</c:v>
                </c:pt>
                <c:pt idx="135">
                  <c:v>1.01310468631897</c:v>
                </c:pt>
                <c:pt idx="136">
                  <c:v>1.02816024187453</c:v>
                </c:pt>
                <c:pt idx="137">
                  <c:v>1.04332690854119</c:v>
                </c:pt>
                <c:pt idx="138">
                  <c:v>1.05860468631897</c:v>
                </c:pt>
                <c:pt idx="139">
                  <c:v>1.07399357520786</c:v>
                </c:pt>
                <c:pt idx="140">
                  <c:v>1.08949357520786</c:v>
                </c:pt>
                <c:pt idx="141">
                  <c:v>1.10510468631897</c:v>
                </c:pt>
                <c:pt idx="142">
                  <c:v>1.1208269085412</c:v>
                </c:pt>
                <c:pt idx="143">
                  <c:v>1.13666024187453</c:v>
                </c:pt>
                <c:pt idx="144">
                  <c:v>1.15260468631897</c:v>
                </c:pt>
                <c:pt idx="145">
                  <c:v>1.16866024187453</c:v>
                </c:pt>
                <c:pt idx="146">
                  <c:v>1.18482690854119</c:v>
                </c:pt>
                <c:pt idx="147">
                  <c:v>1.20110468631897</c:v>
                </c:pt>
                <c:pt idx="148">
                  <c:v>1.21749357520786</c:v>
                </c:pt>
                <c:pt idx="149">
                  <c:v>1.23399357520786</c:v>
                </c:pt>
                <c:pt idx="150">
                  <c:v>1.25060468631897</c:v>
                </c:pt>
              </c:numCache>
            </c:numRef>
          </c:yVal>
          <c:smooth val="1"/>
        </c:ser>
        <c:dLbls>
          <c:showLegendKey val="0"/>
          <c:showVal val="0"/>
          <c:showCatName val="0"/>
          <c:showSerName val="0"/>
          <c:showPercent val="0"/>
          <c:showBubbleSize val="0"/>
        </c:dLbls>
        <c:axId val="175652224"/>
        <c:axId val="175650688"/>
      </c:scatterChart>
      <c:valAx>
        <c:axId val="175638784"/>
        <c:scaling>
          <c:orientation val="minMax"/>
          <c:max val="6"/>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48768"/>
        <c:crosses val="autoZero"/>
        <c:crossBetween val="midCat"/>
      </c:valAx>
      <c:valAx>
        <c:axId val="175648768"/>
        <c:scaling>
          <c:orientation val="minMax"/>
          <c:max val="100"/>
          <c:min val="60"/>
        </c:scaling>
        <c:delete val="0"/>
        <c:axPos val="l"/>
        <c:majorGridlines/>
        <c:title>
          <c:layout/>
          <c:overlay val="0"/>
          <c:txPr>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38784"/>
        <c:crosses val="autoZero"/>
        <c:crossBetween val="midCat"/>
      </c:valAx>
      <c:valAx>
        <c:axId val="175652224"/>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0688"/>
        <c:crosses val="autoZero"/>
        <c:crossBetween val="midCat"/>
      </c:valAx>
      <c:valAx>
        <c:axId val="175650688"/>
        <c:scaling>
          <c:orientation val="minMax"/>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2224"/>
        <c:crosses val="max"/>
        <c:crossBetween val="midCat"/>
      </c:valAx>
    </c:plotArea>
    <c:legend>
      <c:legendPos val="r"/>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f6eea4e-b311-416f-b1dc-ac8101a9df17}"/>
      </c:ext>
    </c:extLst>
  </c:chart>
  <c:txPr>
    <a:bodyPr/>
    <a:lstStyle/>
    <a:p>
      <a:pPr>
        <a:defRPr lang="pl-PL"/>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CCM Plant Transfer</a:t>
            </a:r>
            <a:r>
              <a:rPr lang="en-US" baseline="0"/>
              <a:t> Function</a:t>
            </a:r>
            <a:endParaRPr lang="en-US"/>
          </a:p>
        </c:rich>
      </c:tx>
      <c:layout/>
      <c:overlay val="0"/>
    </c:title>
    <c:autoTitleDeleted val="0"/>
    <c:plotArea>
      <c:layout/>
      <c:scatterChart>
        <c:scatterStyle val="smooth"/>
        <c:varyColors val="0"/>
        <c:ser>
          <c:idx val="0"/>
          <c:order val="0"/>
          <c:tx>
            <c:strRef>
              <c:f>"Gain(dB)"</c:f>
              <c:strCache>
                <c:ptCount val="1"/>
                <c:pt idx="0">
                  <c:v>Gain(dB)</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Loop_Modeling!$AD$19:$AD$560</c:f>
              <c:numCache>
                <c:formatCode>0.000</c:formatCode>
                <c:ptCount val="542"/>
                <c:pt idx="0">
                  <c:v>23.5203036630825</c:v>
                </c:pt>
                <c:pt idx="1">
                  <c:v>23.520231969393</c:v>
                </c:pt>
                <c:pt idx="2">
                  <c:v>23.5201568981618</c:v>
                </c:pt>
                <c:pt idx="3">
                  <c:v>23.5200782903332</c:v>
                </c:pt>
                <c:pt idx="4">
                  <c:v>23.5199959793677</c:v>
                </c:pt>
                <c:pt idx="5">
                  <c:v>23.5199097908901</c:v>
                </c:pt>
                <c:pt idx="6">
                  <c:v>23.5198195423211</c:v>
                </c:pt>
                <c:pt idx="7">
                  <c:v>23.5197250424926</c:v>
                </c:pt>
                <c:pt idx="8">
                  <c:v>23.5196260912442</c:v>
                </c:pt>
                <c:pt idx="9">
                  <c:v>23.5195224790008</c:v>
                </c:pt>
                <c:pt idx="10">
                  <c:v>23.5194139863315</c:v>
                </c:pt>
                <c:pt idx="11">
                  <c:v>23.5193003834859</c:v>
                </c:pt>
                <c:pt idx="12">
                  <c:v>23.5191814299111</c:v>
                </c:pt>
                <c:pt idx="13">
                  <c:v>23.5190568737442</c:v>
                </c:pt>
                <c:pt idx="14">
                  <c:v>23.5189264512824</c:v>
                </c:pt>
                <c:pt idx="15">
                  <c:v>23.5187898864274</c:v>
                </c:pt>
                <c:pt idx="16">
                  <c:v>23.5186468901048</c:v>
                </c:pt>
                <c:pt idx="17">
                  <c:v>23.5184971596557</c:v>
                </c:pt>
                <c:pt idx="18">
                  <c:v>23.5183403782007</c:v>
                </c:pt>
                <c:pt idx="19">
                  <c:v>23.5181762139731</c:v>
                </c:pt>
                <c:pt idx="20">
                  <c:v>23.5180043196227</c:v>
                </c:pt>
                <c:pt idx="21">
                  <c:v>23.5178243314855</c:v>
                </c:pt>
                <c:pt idx="22">
                  <c:v>23.5176358688212</c:v>
                </c:pt>
                <c:pt idx="23">
                  <c:v>23.5174385330136</c:v>
                </c:pt>
                <c:pt idx="24">
                  <c:v>23.5172319067354</c:v>
                </c:pt>
                <c:pt idx="25">
                  <c:v>23.5170155530729</c:v>
                </c:pt>
                <c:pt idx="26">
                  <c:v>23.5167890146112</c:v>
                </c:pt>
                <c:pt idx="27">
                  <c:v>23.5165518124769</c:v>
                </c:pt>
                <c:pt idx="28">
                  <c:v>23.5163034453357</c:v>
                </c:pt>
                <c:pt idx="29">
                  <c:v>23.5160433883443</c:v>
                </c:pt>
                <c:pt idx="30">
                  <c:v>23.5157710920546</c:v>
                </c:pt>
                <c:pt idx="31">
                  <c:v>23.5154859812655</c:v>
                </c:pt>
                <c:pt idx="32">
                  <c:v>23.5151874538238</c:v>
                </c:pt>
                <c:pt idx="33">
                  <c:v>23.5148748793683</c:v>
                </c:pt>
                <c:pt idx="34">
                  <c:v>23.5145475980172</c:v>
                </c:pt>
                <c:pt idx="35">
                  <c:v>23.5142049189948</c:v>
                </c:pt>
                <c:pt idx="36">
                  <c:v>23.5138461191952</c:v>
                </c:pt>
                <c:pt idx="37">
                  <c:v>23.5134704416803</c:v>
                </c:pt>
                <c:pt idx="38">
                  <c:v>23.5130770941088</c:v>
                </c:pt>
                <c:pt idx="39">
                  <c:v>23.512665247094</c:v>
                </c:pt>
                <c:pt idx="40">
                  <c:v>23.5122340324863</c:v>
                </c:pt>
                <c:pt idx="41">
                  <c:v>23.5117825415772</c:v>
                </c:pt>
                <c:pt idx="42">
                  <c:v>23.5113098232224</c:v>
                </c:pt>
                <c:pt idx="43">
                  <c:v>23.5108148818794</c:v>
                </c:pt>
                <c:pt idx="44">
                  <c:v>23.5102966755554</c:v>
                </c:pt>
                <c:pt idx="45">
                  <c:v>23.5097541136639</c:v>
                </c:pt>
                <c:pt idx="46">
                  <c:v>23.5091860547833</c:v>
                </c:pt>
                <c:pt idx="47">
                  <c:v>23.5085913043153</c:v>
                </c:pt>
                <c:pt idx="48">
                  <c:v>23.5079686120378</c:v>
                </c:pt>
                <c:pt idx="49">
                  <c:v>23.5073166695481</c:v>
                </c:pt>
                <c:pt idx="50">
                  <c:v>23.506634107592</c:v>
                </c:pt>
                <c:pt idx="51">
                  <c:v>23.5059194932736</c:v>
                </c:pt>
                <c:pt idx="52">
                  <c:v>23.505171327141</c:v>
                </c:pt>
                <c:pt idx="53">
                  <c:v>23.504388040143</c:v>
                </c:pt>
                <c:pt idx="54">
                  <c:v>23.5035679904506</c:v>
                </c:pt>
                <c:pt idx="55">
                  <c:v>23.5027094601396</c:v>
                </c:pt>
                <c:pt idx="56">
                  <c:v>23.5018106517261</c:v>
                </c:pt>
                <c:pt idx="57">
                  <c:v>23.5008696845514</c:v>
                </c:pt>
                <c:pt idx="58">
                  <c:v>23.4998845910091</c:v>
                </c:pt>
                <c:pt idx="59">
                  <c:v>23.4988533126074</c:v>
                </c:pt>
                <c:pt idx="60">
                  <c:v>23.4977736958624</c:v>
                </c:pt>
                <c:pt idx="61">
                  <c:v>23.4966434880137</c:v>
                </c:pt>
                <c:pt idx="62">
                  <c:v>23.4954603325565</c:v>
                </c:pt>
                <c:pt idx="63">
                  <c:v>23.4942217645831</c:v>
                </c:pt>
                <c:pt idx="64">
                  <c:v>23.4929252059267</c:v>
                </c:pt>
                <c:pt idx="65">
                  <c:v>23.4915679601003</c:v>
                </c:pt>
                <c:pt idx="66">
                  <c:v>23.4901472070225</c:v>
                </c:pt>
                <c:pt idx="67">
                  <c:v>23.4886599975241</c:v>
                </c:pt>
                <c:pt idx="68">
                  <c:v>23.4871032476268</c:v>
                </c:pt>
                <c:pt idx="69">
                  <c:v>23.4854737325857</c:v>
                </c:pt>
                <c:pt idx="70">
                  <c:v>23.4837680806887</c:v>
                </c:pt>
                <c:pt idx="71">
                  <c:v>23.4819827668041</c:v>
                </c:pt>
                <c:pt idx="72">
                  <c:v>23.4801141056689</c:v>
                </c:pt>
                <c:pt idx="73">
                  <c:v>23.4781582449089</c:v>
                </c:pt>
                <c:pt idx="74">
                  <c:v>23.4761111577824</c:v>
                </c:pt>
                <c:pt idx="75">
                  <c:v>23.4739686356405</c:v>
                </c:pt>
                <c:pt idx="76">
                  <c:v>23.4717262800945</c:v>
                </c:pt>
                <c:pt idx="77">
                  <c:v>23.4693794948834</c:v>
                </c:pt>
                <c:pt idx="78">
                  <c:v>23.4669234774324</c:v>
                </c:pt>
                <c:pt idx="79">
                  <c:v>23.4643532100961</c:v>
                </c:pt>
                <c:pt idx="80">
                  <c:v>23.4616634510781</c:v>
                </c:pt>
                <c:pt idx="81">
                  <c:v>23.45884872502</c:v>
                </c:pt>
                <c:pt idx="82">
                  <c:v>23.455903313252</c:v>
                </c:pt>
                <c:pt idx="83">
                  <c:v>23.4528212437007</c:v>
                </c:pt>
                <c:pt idx="84">
                  <c:v>23.4495962804465</c:v>
                </c:pt>
                <c:pt idx="85">
                  <c:v>23.4462219129253</c:v>
                </c:pt>
                <c:pt idx="86">
                  <c:v>23.4426913447714</c:v>
                </c:pt>
                <c:pt idx="87">
                  <c:v>23.4389974822951</c:v>
                </c:pt>
                <c:pt idx="88">
                  <c:v>23.4351329225954</c:v>
                </c:pt>
                <c:pt idx="89">
                  <c:v>23.4310899413025</c:v>
                </c:pt>
                <c:pt idx="90">
                  <c:v>23.4268604799525</c:v>
                </c:pt>
                <c:pt idx="91">
                  <c:v>23.4224361329916</c:v>
                </c:pt>
                <c:pt idx="92">
                  <c:v>23.417808134415</c:v>
                </c:pt>
                <c:pt idx="93">
                  <c:v>23.4129673440418</c:v>
                </c:pt>
                <c:pt idx="94">
                  <c:v>23.4079042334325</c:v>
                </c:pt>
                <c:pt idx="95">
                  <c:v>23.402608871457</c:v>
                </c:pt>
                <c:pt idx="96">
                  <c:v>23.3970709095206</c:v>
                </c:pt>
                <c:pt idx="97">
                  <c:v>23.3912795664629</c:v>
                </c:pt>
                <c:pt idx="98">
                  <c:v>23.3852236131433</c:v>
                </c:pt>
                <c:pt idx="99">
                  <c:v>23.3788913567292</c:v>
                </c:pt>
                <c:pt idx="100">
                  <c:v>23.3722706247112</c:v>
                </c:pt>
                <c:pt idx="101">
                  <c:v>23.3653487486657</c:v>
                </c:pt>
                <c:pt idx="102">
                  <c:v>23.3581125477966</c:v>
                </c:pt>
                <c:pt idx="103">
                  <c:v>23.3505483122858</c:v>
                </c:pt>
                <c:pt idx="104">
                  <c:v>23.3426417864896</c:v>
                </c:pt>
                <c:pt idx="105">
                  <c:v>23.3343781520229</c:v>
                </c:pt>
                <c:pt idx="106">
                  <c:v>23.3257420107763</c:v>
                </c:pt>
                <c:pt idx="107">
                  <c:v>23.3167173679179</c:v>
                </c:pt>
                <c:pt idx="108">
                  <c:v>23.3072876149375</c:v>
                </c:pt>
                <c:pt idx="109">
                  <c:v>23.2974355127959</c:v>
                </c:pt>
                <c:pt idx="110">
                  <c:v>23.2871431752482</c:v>
                </c:pt>
                <c:pt idx="111">
                  <c:v>23.2763920524188</c:v>
                </c:pt>
                <c:pt idx="112">
                  <c:v>23.26516291471</c:v>
                </c:pt>
                <c:pt idx="113">
                  <c:v>23.2534358371356</c:v>
                </c:pt>
                <c:pt idx="114">
                  <c:v>23.2411901841773</c:v>
                </c:pt>
                <c:pt idx="115">
                  <c:v>23.2284045952695</c:v>
                </c:pt>
                <c:pt idx="116">
                  <c:v>23.2150569710277</c:v>
                </c:pt>
                <c:pt idx="117">
                  <c:v>23.2011244603419</c:v>
                </c:pt>
                <c:pt idx="118">
                  <c:v>23.1865834484662</c:v>
                </c:pt>
                <c:pt idx="119">
                  <c:v>23.1714095462444</c:v>
                </c:pt>
                <c:pt idx="120">
                  <c:v>23.1555775806174</c:v>
                </c:pt>
                <c:pt idx="121">
                  <c:v>23.1390615865707</c:v>
                </c:pt>
                <c:pt idx="122">
                  <c:v>23.1218348006859</c:v>
                </c:pt>
                <c:pt idx="123">
                  <c:v>23.103869656466</c:v>
                </c:pt>
                <c:pt idx="124">
                  <c:v>23.0851377816172</c:v>
                </c:pt>
                <c:pt idx="125">
                  <c:v>23.0656099974722</c:v>
                </c:pt>
                <c:pt idx="126">
                  <c:v>23.0452563207476</c:v>
                </c:pt>
                <c:pt idx="127">
                  <c:v>23.0240459678339</c:v>
                </c:pt>
                <c:pt idx="128">
                  <c:v>23.0019473618212</c:v>
                </c:pt>
                <c:pt idx="129">
                  <c:v>22.9789281424649</c:v>
                </c:pt>
                <c:pt idx="130">
                  <c:v>22.9549551793001</c:v>
                </c:pt>
                <c:pt idx="131">
                  <c:v>22.9299945881117</c:v>
                </c:pt>
                <c:pt idx="132">
                  <c:v>22.9040117509661</c:v>
                </c:pt>
                <c:pt idx="133">
                  <c:v>22.8769713400073</c:v>
                </c:pt>
                <c:pt idx="134">
                  <c:v>22.8488373452126</c:v>
                </c:pt>
                <c:pt idx="135">
                  <c:v>22.8195731062971</c:v>
                </c:pt>
                <c:pt idx="136">
                  <c:v>22.7891413489436</c:v>
                </c:pt>
                <c:pt idx="137">
                  <c:v>22.7575042255198</c:v>
                </c:pt>
                <c:pt idx="138">
                  <c:v>22.7246233604314</c:v>
                </c:pt>
                <c:pt idx="139">
                  <c:v>22.6904599002346</c:v>
                </c:pt>
                <c:pt idx="140">
                  <c:v>22.6549745686131</c:v>
                </c:pt>
                <c:pt idx="141">
                  <c:v>22.6181277262936</c:v>
                </c:pt>
                <c:pt idx="142">
                  <c:v>22.5798794359478</c:v>
                </c:pt>
                <c:pt idx="143">
                  <c:v>22.5401895320911</c:v>
                </c:pt>
                <c:pt idx="144">
                  <c:v>22.4990176959553</c:v>
                </c:pt>
                <c:pt idx="145">
                  <c:v>22.4563235352691</c:v>
                </c:pt>
                <c:pt idx="146">
                  <c:v>22.4120666688394</c:v>
                </c:pt>
                <c:pt idx="147">
                  <c:v>22.366206815779</c:v>
                </c:pt>
                <c:pt idx="148">
                  <c:v>22.3187038891784</c:v>
                </c:pt>
                <c:pt idx="149">
                  <c:v>22.2695180939695</c:v>
                </c:pt>
                <c:pt idx="150">
                  <c:v>22.2186100286756</c:v>
                </c:pt>
                <c:pt idx="151">
                  <c:v>22.1659407906924</c:v>
                </c:pt>
                <c:pt idx="152">
                  <c:v>22.1114720846877</c:v>
                </c:pt>
                <c:pt idx="153">
                  <c:v>22.0551663336578</c:v>
                </c:pt>
                <c:pt idx="154">
                  <c:v>21.9969867921281</c:v>
                </c:pt>
                <c:pt idx="155">
                  <c:v>21.9368976609325</c:v>
                </c:pt>
                <c:pt idx="156">
                  <c:v>21.8748642029651</c:v>
                </c:pt>
                <c:pt idx="157">
                  <c:v>21.8108528592518</c:v>
                </c:pt>
                <c:pt idx="158">
                  <c:v>21.7448313646539</c:v>
                </c:pt>
                <c:pt idx="159">
                  <c:v>21.6767688624853</c:v>
                </c:pt>
                <c:pt idx="160">
                  <c:v>21.6066360172961</c:v>
                </c:pt>
                <c:pt idx="161">
                  <c:v>21.5344051250641</c:v>
                </c:pt>
                <c:pt idx="162">
                  <c:v>21.4600502200195</c:v>
                </c:pt>
                <c:pt idx="163">
                  <c:v>21.3835471773316</c:v>
                </c:pt>
                <c:pt idx="164">
                  <c:v>21.3048738108945</c:v>
                </c:pt>
                <c:pt idx="165">
                  <c:v>21.224009965464</c:v>
                </c:pt>
                <c:pt idx="166">
                  <c:v>21.1409376024265</c:v>
                </c:pt>
                <c:pt idx="167">
                  <c:v>21.0556408785203</c:v>
                </c:pt>
                <c:pt idx="168">
                  <c:v>20.9681062168703</c:v>
                </c:pt>
                <c:pt idx="169">
                  <c:v>20.8783223697582</c:v>
                </c:pt>
                <c:pt idx="170">
                  <c:v>20.7862804726089</c:v>
                </c:pt>
                <c:pt idx="171">
                  <c:v>20.6919740887505</c:v>
                </c:pt>
                <c:pt idx="172">
                  <c:v>20.5953992445765</c:v>
                </c:pt>
                <c:pt idx="173">
                  <c:v>20.4965544548292</c:v>
                </c:pt>
                <c:pt idx="174">
                  <c:v>20.3954407378052</c:v>
                </c:pt>
                <c:pt idx="175">
                  <c:v>20.2920616203801</c:v>
                </c:pt>
                <c:pt idx="176">
                  <c:v>20.1864231328379</c:v>
                </c:pt>
                <c:pt idx="177">
                  <c:v>20.0785337935865</c:v>
                </c:pt>
                <c:pt idx="178">
                  <c:v>19.9684045839305</c:v>
                </c:pt>
                <c:pt idx="179">
                  <c:v>19.8560489131638</c:v>
                </c:pt>
                <c:pt idx="180">
                  <c:v>19.7414825743285</c:v>
                </c:pt>
                <c:pt idx="181">
                  <c:v>19.6247236910654</c:v>
                </c:pt>
                <c:pt idx="182">
                  <c:v>19.5057926560608</c:v>
                </c:pt>
                <c:pt idx="183">
                  <c:v>19.3847120616533</c:v>
                </c:pt>
                <c:pt idx="184">
                  <c:v>19.2615066232292</c:v>
                </c:pt>
                <c:pt idx="185">
                  <c:v>19.1362030960821</c:v>
                </c:pt>
                <c:pt idx="186">
                  <c:v>19.0088301864528</c:v>
                </c:pt>
                <c:pt idx="187">
                  <c:v>18.8794184574987</c:v>
                </c:pt>
                <c:pt idx="188">
                  <c:v>18.7480002309593</c:v>
                </c:pt>
                <c:pt idx="189">
                  <c:v>18.6146094853021</c:v>
                </c:pt>
                <c:pt idx="190">
                  <c:v>18.47928175113</c:v>
                </c:pt>
                <c:pt idx="191">
                  <c:v>18.3420540046304</c:v>
                </c:pt>
                <c:pt idx="192">
                  <c:v>18.2029645598263</c:v>
                </c:pt>
                <c:pt idx="193">
                  <c:v>18.0620529603728</c:v>
                </c:pt>
                <c:pt idx="194">
                  <c:v>17.9193598716102</c:v>
                </c:pt>
                <c:pt idx="195">
                  <c:v>17.7749269735488</c:v>
                </c:pt>
                <c:pt idx="196">
                  <c:v>17.6287968554251</c:v>
                </c:pt>
                <c:pt idx="197">
                  <c:v>17.4810129124176</c:v>
                </c:pt>
                <c:pt idx="198">
                  <c:v>17.3316192450677</c:v>
                </c:pt>
                <c:pt idx="199">
                  <c:v>17.180660561899</c:v>
                </c:pt>
                <c:pt idx="200">
                  <c:v>17.0281820856739</c:v>
                </c:pt>
                <c:pt idx="201">
                  <c:v>16.8742294636771</c:v>
                </c:pt>
                <c:pt idx="202">
                  <c:v>16.7188486823585</c:v>
                </c:pt>
                <c:pt idx="203">
                  <c:v>16.5620859866198</c:v>
                </c:pt>
                <c:pt idx="204">
                  <c:v>16.4039878039711</c:v>
                </c:pt>
                <c:pt idx="205">
                  <c:v>16.2446006737432</c:v>
                </c:pt>
                <c:pt idx="206">
                  <c:v>16.0839711814839</c:v>
                </c:pt>
                <c:pt idx="207">
                  <c:v>15.9221458986298</c:v>
                </c:pt>
                <c:pt idx="208">
                  <c:v>15.7591713274989</c:v>
                </c:pt>
                <c:pt idx="209">
                  <c:v>15.5950938516091</c:v>
                </c:pt>
                <c:pt idx="210">
                  <c:v>15.4299596912978</c:v>
                </c:pt>
                <c:pt idx="211">
                  <c:v>15.2638148645768</c:v>
                </c:pt>
                <c:pt idx="212">
                  <c:v>15.0967051531357</c:v>
                </c:pt>
                <c:pt idx="213">
                  <c:v>14.9286760733748</c:v>
                </c:pt>
                <c:pt idx="214">
                  <c:v>14.7597728523293</c:v>
                </c:pt>
                <c:pt idx="215">
                  <c:v>14.5900404083258</c:v>
                </c:pt>
                <c:pt idx="216">
                  <c:v>14.4195233361946</c:v>
                </c:pt>
                <c:pt idx="217">
                  <c:v>14.2482658968474</c:v>
                </c:pt>
                <c:pt idx="218">
                  <c:v>14.076312011021</c:v>
                </c:pt>
                <c:pt idx="219">
                  <c:v>13.9037052569734</c:v>
                </c:pt>
                <c:pt idx="220">
                  <c:v>13.7304888719155</c:v>
                </c:pt>
                <c:pt idx="221">
                  <c:v>13.5567057569554</c:v>
                </c:pt>
                <c:pt idx="222">
                  <c:v>13.3823984853279</c:v>
                </c:pt>
                <c:pt idx="223">
                  <c:v>13.2076093136788</c:v>
                </c:pt>
                <c:pt idx="224">
                  <c:v>13.0323801961765</c:v>
                </c:pt>
                <c:pt idx="225">
                  <c:v>12.8567528012166</c:v>
                </c:pt>
                <c:pt idx="226">
                  <c:v>12.6807685304927</c:v>
                </c:pt>
                <c:pt idx="227">
                  <c:v>12.5044685402041</c:v>
                </c:pt>
                <c:pt idx="228">
                  <c:v>12.3278937641727</c:v>
                </c:pt>
                <c:pt idx="229">
                  <c:v>12.1510849386448</c:v>
                </c:pt>
                <c:pt idx="230">
                  <c:v>11.974082628557</c:v>
                </c:pt>
                <c:pt idx="231">
                  <c:v>11.7969272550416</c:v>
                </c:pt>
                <c:pt idx="232">
                  <c:v>11.6196591239575</c:v>
                </c:pt>
                <c:pt idx="233">
                  <c:v>11.4423184552254</c:v>
                </c:pt>
                <c:pt idx="234">
                  <c:v>11.2649454127564</c:v>
                </c:pt>
                <c:pt idx="235">
                  <c:v>11.0875801347562</c:v>
                </c:pt>
                <c:pt idx="236">
                  <c:v>10.9102627641927</c:v>
                </c:pt>
                <c:pt idx="237">
                  <c:v>10.7330334792163</c:v>
                </c:pt>
                <c:pt idx="238">
                  <c:v>10.5559325233149</c:v>
                </c:pt>
                <c:pt idx="239">
                  <c:v>10.3790002349948</c:v>
                </c:pt>
                <c:pt idx="240">
                  <c:v>10.2022770767697</c:v>
                </c:pt>
                <c:pt idx="241">
                  <c:v>10.0258036632433</c:v>
                </c:pt>
                <c:pt idx="242">
                  <c:v>9.84962078806756</c:v>
                </c:pt>
                <c:pt idx="243">
                  <c:v>9.67376944955672</c:v>
                </c:pt>
                <c:pt idx="244">
                  <c:v>9.49829087473617</c:v>
                </c:pt>
                <c:pt idx="245">
                  <c:v>9.32322654160197</c:v>
                </c:pt>
                <c:pt idx="246">
                  <c:v>9.14861819936545</c:v>
                </c:pt>
                <c:pt idx="247">
                  <c:v>8.97450788645508</c:v>
                </c:pt>
                <c:pt idx="248">
                  <c:v>8.80093794604625</c:v>
                </c:pt>
                <c:pt idx="249">
                  <c:v>8.62795103888903</c:v>
                </c:pt>
                <c:pt idx="250">
                  <c:v>8.45559015320225</c:v>
                </c:pt>
                <c:pt idx="251">
                  <c:v>8.28389861140487</c:v>
                </c:pt>
                <c:pt idx="252">
                  <c:v>8.11292007345474</c:v>
                </c:pt>
                <c:pt idx="253">
                  <c:v>7.94269853656924</c:v>
                </c:pt>
                <c:pt idx="254">
                  <c:v>7.77327833110659</c:v>
                </c:pt>
                <c:pt idx="255">
                  <c:v>7.6047041123917</c:v>
                </c:pt>
                <c:pt idx="256">
                  <c:v>7.43702084827993</c:v>
                </c:pt>
                <c:pt idx="257">
                  <c:v>7.27027380225954</c:v>
                </c:pt>
                <c:pt idx="258">
                  <c:v>7.10450851191134</c:v>
                </c:pt>
                <c:pt idx="259">
                  <c:v>6.93977076255256</c:v>
                </c:pt>
                <c:pt idx="260">
                  <c:v>6.77610655591642</c:v>
                </c:pt>
                <c:pt idx="261">
                  <c:v>6.6135620737352</c:v>
                </c:pt>
                <c:pt idx="262">
                  <c:v>6.4521836361214</c:v>
                </c:pt>
                <c:pt idx="263">
                  <c:v>6.29201765466767</c:v>
                </c:pt>
                <c:pt idx="264">
                  <c:v>6.13311058021762</c:v>
                </c:pt>
                <c:pt idx="265">
                  <c:v>5.97550884529238</c:v>
                </c:pt>
                <c:pt idx="266">
                  <c:v>5.81925880119711</c:v>
                </c:pt>
                <c:pt idx="267">
                  <c:v>5.66440664986853</c:v>
                </c:pt>
                <c:pt idx="268">
                  <c:v>5.51099837057236</c:v>
                </c:pt>
                <c:pt idx="269">
                  <c:v>5.35907964160101</c:v>
                </c:pt>
                <c:pt idx="270">
                  <c:v>5.2086957571739</c:v>
                </c:pt>
                <c:pt idx="271">
                  <c:v>5.05989153979128</c:v>
                </c:pt>
                <c:pt idx="272">
                  <c:v>4.91271124834478</c:v>
                </c:pt>
                <c:pt idx="273">
                  <c:v>4.76719848234154</c:v>
                </c:pt>
                <c:pt idx="274">
                  <c:v>4.62339608265075</c:v>
                </c:pt>
                <c:pt idx="275">
                  <c:v>4.4813460292353</c:v>
                </c:pt>
                <c:pt idx="276">
                  <c:v>4.34108933638275</c:v>
                </c:pt>
                <c:pt idx="277">
                  <c:v>4.20266594599871</c:v>
                </c:pt>
                <c:pt idx="278">
                  <c:v>4.06611461957257</c:v>
                </c:pt>
                <c:pt idx="279">
                  <c:v>3.93147282947012</c:v>
                </c:pt>
                <c:pt idx="280">
                  <c:v>3.79877665024219</c:v>
                </c:pt>
                <c:pt idx="281">
                  <c:v>3.66806065067564</c:v>
                </c:pt>
                <c:pt idx="282">
                  <c:v>3.53935778733417</c:v>
                </c:pt>
                <c:pt idx="283">
                  <c:v>3.41269930036135</c:v>
                </c:pt>
                <c:pt idx="284">
                  <c:v>3.2881146123218</c:v>
                </c:pt>
                <c:pt idx="285">
                  <c:v>3.16563123086596</c:v>
                </c:pt>
                <c:pt idx="286">
                  <c:v>3.04527465599311</c:v>
                </c:pt>
                <c:pt idx="287">
                  <c:v>2.92706829267175</c:v>
                </c:pt>
                <c:pt idx="288">
                  <c:v>2.81103336955187</c:v>
                </c:pt>
                <c:pt idx="289">
                  <c:v>2.69718886446764</c:v>
                </c:pt>
                <c:pt idx="290">
                  <c:v>2.58555143738459</c:v>
                </c:pt>
                <c:pt idx="291">
                  <c:v>2.47613537139103</c:v>
                </c:pt>
                <c:pt idx="292">
                  <c:v>2.3689525222728</c:v>
                </c:pt>
                <c:pt idx="293">
                  <c:v>2.26401227713829</c:v>
                </c:pt>
                <c:pt idx="294">
                  <c:v>2.16132152248547</c:v>
                </c:pt>
                <c:pt idx="295">
                  <c:v>2.06088462201975</c:v>
                </c:pt>
                <c:pt idx="296">
                  <c:v>1.9627034044426</c:v>
                </c:pt>
                <c:pt idx="297">
                  <c:v>1.86677716134363</c:v>
                </c:pt>
                <c:pt idx="298">
                  <c:v>1.77310265523138</c:v>
                </c:pt>
                <c:pt idx="299">
                  <c:v>1.68167413765011</c:v>
                </c:pt>
                <c:pt idx="300">
                  <c:v>1.59248337723327</c:v>
                </c:pt>
                <c:pt idx="301">
                  <c:v>1.50551969745787</c:v>
                </c:pt>
                <c:pt idx="302">
                  <c:v>1.42077002377454</c:v>
                </c:pt>
                <c:pt idx="303">
                  <c:v>1.33821893970887</c:v>
                </c:pt>
                <c:pt idx="304">
                  <c:v>1.25784875145393</c:v>
                </c:pt>
                <c:pt idx="305">
                  <c:v>1.17963956040488</c:v>
                </c:pt>
                <c:pt idx="306">
                  <c:v>1.10356934302677</c:v>
                </c:pt>
                <c:pt idx="307">
                  <c:v>1.02961403739527</c:v>
                </c:pt>
                <c:pt idx="308">
                  <c:v>0.957747635707185</c:v>
                </c:pt>
                <c:pt idx="309">
                  <c:v>0.887942282025641</c:v>
                </c:pt>
                <c:pt idx="310">
                  <c:v>0.82016837449871</c:v>
                </c:pt>
                <c:pt idx="311">
                  <c:v>0.754394671280838</c:v>
                </c:pt>
                <c:pt idx="312">
                  <c:v>0.690588399377718</c:v>
                </c:pt>
                <c:pt idx="313">
                  <c:v>0.628715365641385</c:v>
                </c:pt>
                <c:pt idx="314">
                  <c:v>0.568740069156155</c:v>
                </c:pt>
                <c:pt idx="315">
                  <c:v>0.510625814274574</c:v>
                </c:pt>
                <c:pt idx="316">
                  <c:v>0.454334823591781</c:v>
                </c:pt>
                <c:pt idx="317">
                  <c:v>0.399828350179489</c:v>
                </c:pt>
                <c:pt idx="318">
                  <c:v>0.347066788440876</c:v>
                </c:pt>
                <c:pt idx="319">
                  <c:v>0.296009782990918</c:v>
                </c:pt>
                <c:pt idx="320">
                  <c:v>0.246616335013277</c:v>
                </c:pt>
                <c:pt idx="321">
                  <c:v>0.198844905595993</c:v>
                </c:pt>
                <c:pt idx="322">
                  <c:v>0.152653515598865</c:v>
                </c:pt>
                <c:pt idx="323">
                  <c:v>0.107999841658333</c:v>
                </c:pt>
                <c:pt idx="324">
                  <c:v>0.0648413079879043</c:v>
                </c:pt>
                <c:pt idx="325">
                  <c:v>0.0231351736857121</c:v>
                </c:pt>
                <c:pt idx="326">
                  <c:v>-0.0171613846895714</c:v>
                </c:pt>
                <c:pt idx="327">
                  <c:v>-0.0560911954637883</c:v>
                </c:pt>
                <c:pt idx="328">
                  <c:v>-0.0936970192537686</c:v>
                </c:pt>
                <c:pt idx="329">
                  <c:v>-0.130021481533461</c:v>
                </c:pt>
                <c:pt idx="330">
                  <c:v>-0.165107010414557</c:v>
                </c:pt>
                <c:pt idx="331">
                  <c:v>-0.198995779658307</c:v>
                </c:pt>
                <c:pt idx="332">
                  <c:v>-0.231729656900144</c:v>
                </c:pt>
                <c:pt idx="333">
                  <c:v>-0.263350157036629</c:v>
                </c:pt>
                <c:pt idx="334">
                  <c:v>-0.293898400695374</c:v>
                </c:pt>
                <c:pt idx="335">
                  <c:v>-0.323415077684416</c:v>
                </c:pt>
                <c:pt idx="336">
                  <c:v>-0.35194041529423</c:v>
                </c:pt>
                <c:pt idx="337">
                  <c:v>-0.379514151308926</c:v>
                </c:pt>
                <c:pt idx="338">
                  <c:v>-0.406175511565466</c:v>
                </c:pt>
                <c:pt idx="339">
                  <c:v>-0.431963191889476</c:v>
                </c:pt>
                <c:pt idx="340">
                  <c:v>-0.456915344224519</c:v>
                </c:pt>
                <c:pt idx="341">
                  <c:v>-0.481069566765533</c:v>
                </c:pt>
                <c:pt idx="342">
                  <c:v>-0.504462897901954</c:v>
                </c:pt>
                <c:pt idx="343">
                  <c:v>-0.527131813772603</c:v>
                </c:pt>
                <c:pt idx="344">
                  <c:v>-0.549112229234554</c:v>
                </c:pt>
                <c:pt idx="345">
                  <c:v>-0.570439502047459</c:v>
                </c:pt>
                <c:pt idx="346">
                  <c:v>-0.591148440078718</c:v>
                </c:pt>
                <c:pt idx="347">
                  <c:v>-0.611273311336372</c:v>
                </c:pt>
                <c:pt idx="348">
                  <c:v>-0.63084785664264</c:v>
                </c:pt>
                <c:pt idx="349">
                  <c:v>-0.649905304765438</c:v>
                </c:pt>
                <c:pt idx="350">
                  <c:v>-0.668478389831533</c:v>
                </c:pt>
                <c:pt idx="351">
                  <c:v>-0.686599370851552</c:v>
                </c:pt>
                <c:pt idx="352">
                  <c:v>-0.704300053194041</c:v>
                </c:pt>
                <c:pt idx="353">
                  <c:v>-0.721611811852595</c:v>
                </c:pt>
                <c:pt idx="354">
                  <c:v>-0.738565616358053</c:v>
                </c:pt>
                <c:pt idx="355">
                  <c:v>-0.755192057194497</c:v>
                </c:pt>
                <c:pt idx="356">
                  <c:v>-0.77152137358514</c:v>
                </c:pt>
                <c:pt idx="357">
                  <c:v>-0.787583482521279</c:v>
                </c:pt>
                <c:pt idx="358">
                  <c:v>-0.803408008914733</c:v>
                </c:pt>
                <c:pt idx="359">
                  <c:v>-0.819024316759162</c:v>
                </c:pt>
                <c:pt idx="360">
                  <c:v>-0.834461541194154</c:v>
                </c:pt>
                <c:pt idx="361">
                  <c:v>-0.84974862136872</c:v>
                </c:pt>
                <c:pt idx="362">
                  <c:v>-0.864914334008361</c:v>
                </c:pt>
                <c:pt idx="363">
                  <c:v>-0.879987327592846</c:v>
                </c:pt>
                <c:pt idx="364">
                  <c:v>-0.894996157056791</c:v>
                </c:pt>
                <c:pt idx="365">
                  <c:v>-0.909969318928058</c:v>
                </c:pt>
                <c:pt idx="366">
                  <c:v>-0.92493528682168</c:v>
                </c:pt>
                <c:pt idx="367">
                  <c:v>-0.939922547209866</c:v>
                </c:pt>
                <c:pt idx="368">
                  <c:v>-0.954959635389156</c:v>
                </c:pt>
                <c:pt idx="369">
                  <c:v>-0.970075171567563</c:v>
                </c:pt>
                <c:pt idx="370">
                  <c:v>-0.985297896993866</c:v>
                </c:pt>
                <c:pt idx="371">
                  <c:v>-1.00065671005163</c:v>
                </c:pt>
                <c:pt idx="372">
                  <c:v>-1.01618070223856</c:v>
                </c:pt>
                <c:pt idx="373">
                  <c:v>-1.03189919395027</c:v>
                </c:pt>
                <c:pt idx="374">
                  <c:v>-1.04784176998545</c:v>
                </c:pt>
                <c:pt idx="375">
                  <c:v>-1.06403831468525</c:v>
                </c:pt>
                <c:pt idx="376">
                  <c:v>-1.08051904661762</c:v>
                </c:pt>
                <c:pt idx="377">
                  <c:v>-1.09731455271078</c:v>
                </c:pt>
                <c:pt idx="378">
                  <c:v>-1.1144558217375</c:v>
                </c:pt>
                <c:pt idx="379">
                  <c:v>-1.13197427704398</c:v>
                </c:pt>
                <c:pt idx="380">
                  <c:v>-1.1499018084129</c:v>
                </c:pt>
                <c:pt idx="381">
                  <c:v>-1.16827080294397</c:v>
                </c:pt>
                <c:pt idx="382">
                  <c:v>-1.18711417482492</c:v>
                </c:pt>
                <c:pt idx="383">
                  <c:v>-1.20646539386493</c:v>
                </c:pt>
                <c:pt idx="384">
                  <c:v>-1.22635851264811</c:v>
                </c:pt>
                <c:pt idx="385">
                  <c:v>-1.24682819216298</c:v>
                </c:pt>
                <c:pt idx="386">
                  <c:v>-1.26790972575027</c:v>
                </c:pt>
                <c:pt idx="387">
                  <c:v>-1.28963906120985</c:v>
                </c:pt>
                <c:pt idx="388">
                  <c:v>-1.31205282089363</c:v>
                </c:pt>
                <c:pt idx="389">
                  <c:v>-1.33518831960919</c:v>
                </c:pt>
                <c:pt idx="390">
                  <c:v>-1.35908358014676</c:v>
                </c:pt>
                <c:pt idx="391">
                  <c:v>-1.38377734623984</c:v>
                </c:pt>
                <c:pt idx="392">
                  <c:v>-1.40930909276172</c:v>
                </c:pt>
                <c:pt idx="393">
                  <c:v>-1.43571903295378</c:v>
                </c:pt>
                <c:pt idx="394">
                  <c:v>-1.46304812248075</c:v>
                </c:pt>
                <c:pt idx="395">
                  <c:v>-1.49133806010117</c:v>
                </c:pt>
                <c:pt idx="396">
                  <c:v>-1.52063128474404</c:v>
                </c:pt>
                <c:pt idx="397">
                  <c:v>-1.55097096877831</c:v>
                </c:pt>
                <c:pt idx="398">
                  <c:v>-1.58240100726806</c:v>
                </c:pt>
                <c:pt idx="399">
                  <c:v>-1.61496600300626</c:v>
                </c:pt>
                <c:pt idx="400">
                  <c:v>-1.64871124713074</c:v>
                </c:pt>
                <c:pt idx="401">
                  <c:v>-1.68368269512971</c:v>
                </c:pt>
                <c:pt idx="402">
                  <c:v>-1.71992693805973</c:v>
                </c:pt>
                <c:pt idx="403">
                  <c:v>-1.75749116881114</c:v>
                </c:pt>
                <c:pt idx="404">
                  <c:v>-1.79642314327342</c:v>
                </c:pt>
                <c:pt idx="405">
                  <c:v>-1.83677113627313</c:v>
                </c:pt>
                <c:pt idx="406">
                  <c:v>-1.8785838921821</c:v>
                </c:pt>
                <c:pt idx="407">
                  <c:v>-1.92191057011713</c:v>
                </c:pt>
                <c:pt idx="408">
                  <c:v>-1.96680068368552</c:v>
                </c:pt>
                <c:pt idx="409">
                  <c:v>-2.01330403526152</c:v>
                </c:pt>
                <c:pt idx="410">
                  <c:v>-2.06147064481767</c:v>
                </c:pt>
                <c:pt idx="411">
                  <c:v>-2.11135067337056</c:v>
                </c:pt>
                <c:pt idx="412">
                  <c:v>-2.1629943411445</c:v>
                </c:pt>
                <c:pt idx="413">
                  <c:v>-2.21645184060156</c:v>
                </c:pt>
                <c:pt idx="414">
                  <c:v>-2.27177324452884</c:v>
                </c:pt>
                <c:pt idx="415">
                  <c:v>-2.32900840942505</c:v>
                </c:pt>
                <c:pt idx="416">
                  <c:v>-2.38820687447402</c:v>
                </c:pt>
                <c:pt idx="417">
                  <c:v>-2.44941775644202</c:v>
                </c:pt>
                <c:pt idx="418">
                  <c:v>-2.51268964088447</c:v>
                </c:pt>
                <c:pt idx="419">
                  <c:v>-2.57807047009381</c:v>
                </c:pt>
                <c:pt idx="420">
                  <c:v>-2.64560742826453</c:v>
                </c:pt>
                <c:pt idx="421">
                  <c:v>-2.71534682439554</c:v>
                </c:pt>
                <c:pt idx="422">
                  <c:v>-2.78733397348617</c:v>
                </c:pt>
                <c:pt idx="423">
                  <c:v>-2.86161307661778</c:v>
                </c:pt>
                <c:pt idx="424">
                  <c:v>-2.93822710054152</c:v>
                </c:pt>
                <c:pt idx="425">
                  <c:v>-3.01721765741537</c:v>
                </c:pt>
                <c:pt idx="426">
                  <c:v>-3.09862488535029</c:v>
                </c:pt>
                <c:pt idx="427">
                  <c:v>-3.18248733043416</c:v>
                </c:pt>
                <c:pt idx="428">
                  <c:v>-3.26884183090368</c:v>
                </c:pt>
                <c:pt idx="429">
                  <c:v>-3.35772340412776</c:v>
                </c:pt>
                <c:pt idx="430">
                  <c:v>-3.44916513705202</c:v>
                </c:pt>
                <c:pt idx="431">
                  <c:v>-3.54319808072887</c:v>
                </c:pt>
                <c:pt idx="432">
                  <c:v>-3.63985114952945</c:v>
                </c:pt>
                <c:pt idx="433">
                  <c:v>-3.73915102559358</c:v>
                </c:pt>
                <c:pt idx="434">
                  <c:v>-3.84112206902793</c:v>
                </c:pt>
                <c:pt idx="435">
                  <c:v>-3.94578623431171</c:v>
                </c:pt>
                <c:pt idx="436">
                  <c:v>-4.05316299331083</c:v>
                </c:pt>
                <c:pt idx="437">
                  <c:v>-4.1632692652402</c:v>
                </c:pt>
                <c:pt idx="438">
                  <c:v>-4.27611935384762</c:v>
                </c:pt>
                <c:pt idx="439">
                  <c:v>-4.39172489202817</c:v>
                </c:pt>
                <c:pt idx="440">
                  <c:v>-4.51009479400671</c:v>
                </c:pt>
                <c:pt idx="441">
                  <c:v>-4.63123521516374</c:v>
                </c:pt>
                <c:pt idx="442">
                  <c:v>-4.75514951951245</c:v>
                </c:pt>
                <c:pt idx="443">
                  <c:v>-4.88183825477494</c:v>
                </c:pt>
                <c:pt idx="444">
                  <c:v>-5.01129913495098</c:v>
                </c:pt>
                <c:pt idx="445">
                  <c:v>-5.14352703022221</c:v>
                </c:pt>
                <c:pt idx="446">
                  <c:v>-5.27851396399177</c:v>
                </c:pt>
                <c:pt idx="447">
                  <c:v>-5.416249116827</c:v>
                </c:pt>
                <c:pt idx="448">
                  <c:v>-5.55671883704493</c:v>
                </c:pt>
                <c:pt idx="449">
                  <c:v>-5.69990665766551</c:v>
                </c:pt>
                <c:pt idx="450">
                  <c:v>-5.84579331944875</c:v>
                </c:pt>
                <c:pt idx="451">
                  <c:v>-5.994356799734</c:v>
                </c:pt>
                <c:pt idx="452">
                  <c:v>-6.14557234680966</c:v>
                </c:pt>
                <c:pt idx="453">
                  <c:v>-6.29941251956002</c:v>
                </c:pt>
                <c:pt idx="454">
                  <c:v>-6.45584723216057</c:v>
                </c:pt>
                <c:pt idx="455">
                  <c:v>-6.61484380362453</c:v>
                </c:pt>
                <c:pt idx="456">
                  <c:v>-6.77636701203835</c:v>
                </c:pt>
                <c:pt idx="457">
                  <c:v>-6.94037915336543</c:v>
                </c:pt>
                <c:pt idx="458">
                  <c:v>-7.10684010473388</c:v>
                </c:pt>
                <c:pt idx="459">
                  <c:v>-7.27570739216772</c:v>
                </c:pt>
                <c:pt idx="460">
                  <c:v>-7.44693626275803</c:v>
                </c:pt>
                <c:pt idx="461">
                  <c:v>-7.62047976130641</c:v>
                </c:pt>
                <c:pt idx="462">
                  <c:v>-7.79628881150235</c:v>
                </c:pt>
                <c:pt idx="463">
                  <c:v>-7.97431230172078</c:v>
                </c:pt>
                <c:pt idx="464">
                  <c:v>-8.15449717554048</c:v>
                </c:pt>
                <c:pt idx="465">
                  <c:v>-8.33678852709231</c:v>
                </c:pt>
                <c:pt idx="466">
                  <c:v>-8.5211297013414</c:v>
                </c:pt>
                <c:pt idx="467">
                  <c:v>-8.70746239939573</c:v>
                </c:pt>
                <c:pt idx="468">
                  <c:v>-8.89572678890755</c:v>
                </c:pt>
                <c:pt idx="469">
                  <c:v>-9.08586161960118</c:v>
                </c:pt>
                <c:pt idx="470">
                  <c:v>-9.27780434391392</c:v>
                </c:pt>
                <c:pt idx="471">
                  <c:v>-9.47149124268372</c:v>
                </c:pt>
                <c:pt idx="472">
                  <c:v>-9.66685755575243</c:v>
                </c:pt>
                <c:pt idx="473">
                  <c:v>-9.86383761728474</c:v>
                </c:pt>
                <c:pt idx="474">
                  <c:v>-10.062364995525</c:v>
                </c:pt>
                <c:pt idx="475">
                  <c:v>-10.2623726366354</c:v>
                </c:pt>
                <c:pt idx="476">
                  <c:v>-10.4637930121752</c:v>
                </c:pt>
                <c:pt idx="477">
                  <c:v>-10.6665582697006</c:v>
                </c:pt>
                <c:pt idx="478">
                  <c:v>-10.8706003858822</c:v>
                </c:pt>
                <c:pt idx="479">
                  <c:v>-11.0758513214636</c:v>
                </c:pt>
                <c:pt idx="480">
                  <c:v>-11.2822431773145</c:v>
                </c:pt>
                <c:pt idx="481">
                  <c:v>-11.4897083507693</c:v>
                </c:pt>
                <c:pt idx="482">
                  <c:v>-11.6981796913927</c:v>
                </c:pt>
                <c:pt idx="483">
                  <c:v>-11.9075906552732</c:v>
                </c:pt>
                <c:pt idx="484">
                  <c:v>-12.1178754569195</c:v>
                </c:pt>
                <c:pt idx="485">
                  <c:v>-12.3289692178199</c:v>
                </c:pt>
                <c:pt idx="486">
                  <c:v>-12.540808110727</c:v>
                </c:pt>
                <c:pt idx="487">
                  <c:v>-12.7533294987475</c:v>
                </c:pt>
                <c:pt idx="488">
                  <c:v>-12.9664720683424</c:v>
                </c:pt>
                <c:pt idx="489">
                  <c:v>-13.1801759553924</c:v>
                </c:pt>
                <c:pt idx="490">
                  <c:v>-13.3943828635364</c:v>
                </c:pt>
                <c:pt idx="491">
                  <c:v>-13.6090361740624</c:v>
                </c:pt>
                <c:pt idx="492">
                  <c:v>-13.8240810467102</c:v>
                </c:pt>
                <c:pt idx="493">
                  <c:v>-14.0394645108324</c:v>
                </c:pt>
                <c:pt idx="494">
                  <c:v>-14.2551355464601</c:v>
                </c:pt>
                <c:pt idx="495">
                  <c:v>-14.4710451549183</c:v>
                </c:pt>
                <c:pt idx="496">
                  <c:v>-14.6871464187429</c:v>
                </c:pt>
                <c:pt idx="497">
                  <c:v>-14.9033945507583</c:v>
                </c:pt>
                <c:pt idx="498">
                  <c:v>-15.11974693228</c:v>
                </c:pt>
                <c:pt idx="499">
                  <c:v>-15.3361631405113</c:v>
                </c:pt>
                <c:pt idx="500">
                  <c:v>-15.5526049653036</c:v>
                </c:pt>
                <c:pt idx="501">
                  <c:v>-15.7690364155428</c:v>
                </c:pt>
                <c:pt idx="502">
                  <c:v>-15.9854237155142</c:v>
                </c:pt>
                <c:pt idx="503">
                  <c:v>-16.201735291674</c:v>
                </c:pt>
                <c:pt idx="504">
                  <c:v>-16.417941750331</c:v>
                </c:pt>
                <c:pt idx="505">
                  <c:v>-16.634015846797</c:v>
                </c:pt>
                <c:pt idx="506">
                  <c:v>-16.8499324466205</c:v>
                </c:pt>
                <c:pt idx="507">
                  <c:v>-17.0656684795537</c:v>
                </c:pt>
                <c:pt idx="508">
                  <c:v>-17.2812028869363</c:v>
                </c:pt>
                <c:pt idx="509">
                  <c:v>-17.4965165631981</c:v>
                </c:pt>
                <c:pt idx="510">
                  <c:v>-17.7115922921928</c:v>
                </c:pt>
                <c:pt idx="511">
                  <c:v>-17.9264146790753</c:v>
                </c:pt>
                <c:pt idx="512">
                  <c:v>-18.1409700784295</c:v>
                </c:pt>
                <c:pt idx="513">
                  <c:v>-18.355246519338</c:v>
                </c:pt>
                <c:pt idx="514">
                  <c:v>-18.5692336280621</c:v>
                </c:pt>
                <c:pt idx="515">
                  <c:v>-18.7829225489718</c:v>
                </c:pt>
                <c:pt idx="516">
                  <c:v>-18.996305864338</c:v>
                </c:pt>
                <c:pt idx="517">
                  <c:v>-19.2093775135545</c:v>
                </c:pt>
                <c:pt idx="518">
                  <c:v>-19.4221327123243</c:v>
                </c:pt>
                <c:pt idx="519">
                  <c:v>-19.6345678722962</c:v>
                </c:pt>
                <c:pt idx="520">
                  <c:v>-19.8466805215999</c:v>
                </c:pt>
                <c:pt idx="521">
                  <c:v>-20.0584692266772</c:v>
                </c:pt>
                <c:pt idx="522">
                  <c:v>-20.2699335157662</c:v>
                </c:pt>
                <c:pt idx="523">
                  <c:v>-20.4810738043496</c:v>
                </c:pt>
                <c:pt idx="524">
                  <c:v>-20.6918913228354</c:v>
                </c:pt>
                <c:pt idx="525">
                  <c:v>-20.9023880466952</c:v>
                </c:pt>
                <c:pt idx="526">
                  <c:v>-21.1125666292474</c:v>
                </c:pt>
                <c:pt idx="527">
                  <c:v>-21.3224303372351</c:v>
                </c:pt>
                <c:pt idx="528">
                  <c:v>-21.5319829893097</c:v>
                </c:pt>
                <c:pt idx="529">
                  <c:v>-21.7412288975055</c:v>
                </c:pt>
                <c:pt idx="530">
                  <c:v>-21.9501728117505</c:v>
                </c:pt>
                <c:pt idx="531">
                  <c:v>-22.1588198674437</c:v>
                </c:pt>
                <c:pt idx="532">
                  <c:v>-22.3671755360921</c:v>
                </c:pt>
                <c:pt idx="533">
                  <c:v>-22.5752455789895</c:v>
                </c:pt>
                <c:pt idx="534">
                  <c:v>-22.7830360038931</c:v>
                </c:pt>
                <c:pt idx="535">
                  <c:v>-22.9905530246399</c:v>
                </c:pt>
                <c:pt idx="536">
                  <c:v>-23.1978030236299</c:v>
                </c:pt>
                <c:pt idx="537">
                  <c:v>-23.4047925170935</c:v>
                </c:pt>
                <c:pt idx="538">
                  <c:v>-23.611528123045</c:v>
                </c:pt>
                <c:pt idx="539">
                  <c:v>-23.818016531824</c:v>
                </c:pt>
                <c:pt idx="540">
                  <c:v>-24.0242644791125</c:v>
                </c:pt>
                <c:pt idx="541">
                  <c:v>-24.2302787213175</c:v>
                </c:pt>
              </c:numCache>
            </c:numRef>
          </c:yVal>
          <c:smooth val="1"/>
        </c:ser>
        <c:dLbls>
          <c:showLegendKey val="0"/>
          <c:showVal val="0"/>
          <c:showCatName val="0"/>
          <c:showSerName val="0"/>
          <c:showPercent val="0"/>
          <c:showBubbleSize val="0"/>
        </c:dLbls>
        <c:axId val="178188288"/>
        <c:axId val="178190208"/>
      </c:scatterChart>
      <c:scatterChart>
        <c:scatterStyle val="smooth"/>
        <c:varyColors val="0"/>
        <c:ser>
          <c:idx val="1"/>
          <c:order val="1"/>
          <c:tx>
            <c:strRef>
              <c:f>"Phase (deg)"</c:f>
              <c:strCache>
                <c:ptCount val="1"/>
                <c:pt idx="0">
                  <c:v>Phase (deg)</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Loop_Modeling!$AE$19:$AE$560</c:f>
              <c:numCache>
                <c:formatCode>General</c:formatCode>
                <c:ptCount val="542"/>
                <c:pt idx="0">
                  <c:v>-1.14148310017503</c:v>
                </c:pt>
                <c:pt idx="1">
                  <c:v>-1.16806558437767</c:v>
                </c:pt>
                <c:pt idx="2">
                  <c:v>-1.19526681998687</c:v>
                </c:pt>
                <c:pt idx="3">
                  <c:v>-1.22310118853732</c:v>
                </c:pt>
                <c:pt idx="4">
                  <c:v>-1.25158340433495</c:v>
                </c:pt>
                <c:pt idx="5">
                  <c:v>-1.28072852204976</c:v>
                </c:pt>
                <c:pt idx="6">
                  <c:v>-1.31055194447421</c:v>
                </c:pt>
                <c:pt idx="7">
                  <c:v>-1.3410694304503</c:v>
                </c:pt>
                <c:pt idx="8">
                  <c:v>-1.3722971029683</c:v>
                </c:pt>
                <c:pt idx="9">
                  <c:v>-1.40425145744019</c:v>
                </c:pt>
                <c:pt idx="10">
                  <c:v>-1.43694937015102</c:v>
                </c:pt>
                <c:pt idx="11">
                  <c:v>-1.47040810689115</c:v>
                </c:pt>
                <c:pt idx="12">
                  <c:v>-1.50464533177245</c:v>
                </c:pt>
                <c:pt idx="13">
                  <c:v>-1.53967911623169</c:v>
                </c:pt>
                <c:pt idx="14">
                  <c:v>-1.57552794822398</c:v>
                </c:pt>
                <c:pt idx="15">
                  <c:v>-1.61221074160938</c:v>
                </c:pt>
                <c:pt idx="16">
                  <c:v>-1.64974684573579</c:v>
                </c:pt>
                <c:pt idx="17">
                  <c:v>-1.68815605522083</c:v>
                </c:pt>
                <c:pt idx="18">
                  <c:v>-1.72745861993601</c:v>
                </c:pt>
                <c:pt idx="19">
                  <c:v>-1.76767525519568</c:v>
                </c:pt>
                <c:pt idx="20">
                  <c:v>-1.80882715215394</c:v>
                </c:pt>
                <c:pt idx="21">
                  <c:v>-1.85093598841191</c:v>
                </c:pt>
                <c:pt idx="22">
                  <c:v>-1.89402393883832</c:v>
                </c:pt>
                <c:pt idx="23">
                  <c:v>-1.93811368660584</c:v>
                </c:pt>
                <c:pt idx="24">
                  <c:v>-1.98322843444547</c:v>
                </c:pt>
                <c:pt idx="25">
                  <c:v>-2.02939191612178</c:v>
                </c:pt>
                <c:pt idx="26">
                  <c:v>-2.07662840813051</c:v>
                </c:pt>
                <c:pt idx="27">
                  <c:v>-2.12496274162125</c:v>
                </c:pt>
                <c:pt idx="28">
                  <c:v>-2.17442031454662</c:v>
                </c:pt>
                <c:pt idx="29">
                  <c:v>-2.22502710403975</c:v>
                </c:pt>
                <c:pt idx="30">
                  <c:v>-2.27680967902154</c:v>
                </c:pt>
                <c:pt idx="31">
                  <c:v>-2.32979521303901</c:v>
                </c:pt>
                <c:pt idx="32">
                  <c:v>-2.38401149733534</c:v>
                </c:pt>
                <c:pt idx="33">
                  <c:v>-2.43948695415287</c:v>
                </c:pt>
                <c:pt idx="34">
                  <c:v>-2.49625065026875</c:v>
                </c:pt>
                <c:pt idx="35">
                  <c:v>-2.55433231076383</c:v>
                </c:pt>
                <c:pt idx="36">
                  <c:v>-2.6137623330241</c:v>
                </c:pt>
                <c:pt idx="37">
                  <c:v>-2.67457180097393</c:v>
                </c:pt>
                <c:pt idx="38">
                  <c:v>-2.73679249954005</c:v>
                </c:pt>
                <c:pt idx="39">
                  <c:v>-2.80045692934457</c:v>
                </c:pt>
                <c:pt idx="40">
                  <c:v>-2.8655983216244</c:v>
                </c:pt>
                <c:pt idx="41">
                  <c:v>-2.93225065337501</c:v>
                </c:pt>
                <c:pt idx="42">
                  <c:v>-3.00044866271427</c:v>
                </c:pt>
                <c:pt idx="43">
                  <c:v>-3.07022786446299</c:v>
                </c:pt>
                <c:pt idx="44">
                  <c:v>-3.1416245659368</c:v>
                </c:pt>
                <c:pt idx="45">
                  <c:v>-3.21467588294408</c:v>
                </c:pt>
                <c:pt idx="46">
                  <c:v>-3.28941975598323</c:v>
                </c:pt>
                <c:pt idx="47">
                  <c:v>-3.3658949666322</c:v>
                </c:pt>
                <c:pt idx="48">
                  <c:v>-3.44414115412145</c:v>
                </c:pt>
                <c:pt idx="49">
                  <c:v>-3.52419883208136</c:v>
                </c:pt>
                <c:pt idx="50">
                  <c:v>-3.60610940545309</c:v>
                </c:pt>
                <c:pt idx="51">
                  <c:v>-3.68991518755138</c:v>
                </c:pt>
                <c:pt idx="52">
                  <c:v>-3.77565941726584</c:v>
                </c:pt>
                <c:pt idx="53">
                  <c:v>-3.86338627638644</c:v>
                </c:pt>
                <c:pt idx="54">
                  <c:v>-3.95314090703666</c:v>
                </c:pt>
                <c:pt idx="55">
                  <c:v>-4.04496942919704</c:v>
                </c:pt>
                <c:pt idx="56">
                  <c:v>-4.13891895829908</c:v>
                </c:pt>
                <c:pt idx="57">
                  <c:v>-4.23503762286857</c:v>
                </c:pt>
                <c:pt idx="58">
                  <c:v>-4.33337458219436</c:v>
                </c:pt>
                <c:pt idx="59">
                  <c:v>-4.43398004399774</c:v>
                </c:pt>
                <c:pt idx="60">
                  <c:v>-4.53690528207337</c:v>
                </c:pt>
                <c:pt idx="61">
                  <c:v>-4.64220265387297</c:v>
                </c:pt>
                <c:pt idx="62">
                  <c:v>-4.74992561799691</c:v>
                </c:pt>
                <c:pt idx="63">
                  <c:v>-4.8601287515597</c:v>
                </c:pt>
                <c:pt idx="64">
                  <c:v>-4.97286776738933</c:v>
                </c:pt>
                <c:pt idx="65">
                  <c:v>-5.08819953101875</c:v>
                </c:pt>
                <c:pt idx="66">
                  <c:v>-5.20618207742457</c:v>
                </c:pt>
                <c:pt idx="67">
                  <c:v>-5.32687462746369</c:v>
                </c:pt>
                <c:pt idx="68">
                  <c:v>-5.45033760395454</c:v>
                </c:pt>
                <c:pt idx="69">
                  <c:v>-5.57663264734714</c:v>
                </c:pt>
                <c:pt idx="70">
                  <c:v>-5.70582263091979</c:v>
                </c:pt>
                <c:pt idx="71">
                  <c:v>-5.83797167543736</c:v>
                </c:pt>
                <c:pt idx="72">
                  <c:v>-5.97314516319977</c:v>
                </c:pt>
                <c:pt idx="73">
                  <c:v>-6.11140975140585</c:v>
                </c:pt>
                <c:pt idx="74">
                  <c:v>-6.25283338475098</c:v>
                </c:pt>
                <c:pt idx="75">
                  <c:v>-6.39748530717139</c:v>
                </c:pt>
                <c:pt idx="76">
                  <c:v>-6.54543607264266</c:v>
                </c:pt>
                <c:pt idx="77">
                  <c:v>-6.69675755493347</c:v>
                </c:pt>
                <c:pt idx="78">
                  <c:v>-6.85152295620802</c:v>
                </c:pt>
                <c:pt idx="79">
                  <c:v>-7.00980681436466</c:v>
                </c:pt>
                <c:pt idx="80">
                  <c:v>-7.17168500899085</c:v>
                </c:pt>
                <c:pt idx="81">
                  <c:v>-7.33723476580537</c:v>
                </c:pt>
                <c:pt idx="82">
                  <c:v>-7.50653465945359</c:v>
                </c:pt>
                <c:pt idx="83">
                  <c:v>-7.67966461450947</c:v>
                </c:pt>
                <c:pt idx="84">
                  <c:v>-7.85670590453349</c:v>
                </c:pt>
                <c:pt idx="85">
                  <c:v>-8.03774114902119</c:v>
                </c:pt>
                <c:pt idx="86">
                  <c:v>-8.22285430807432</c:v>
                </c:pt>
                <c:pt idx="87">
                  <c:v>-8.41213067461021</c:v>
                </c:pt>
                <c:pt idx="88">
                  <c:v>-8.60565686391931</c:v>
                </c:pt>
                <c:pt idx="89">
                  <c:v>-8.80352080036878</c:v>
                </c:pt>
                <c:pt idx="90">
                  <c:v>-9.00581170103931</c:v>
                </c:pt>
                <c:pt idx="91">
                  <c:v>-9.2126200560722</c:v>
                </c:pt>
                <c:pt idx="92">
                  <c:v>-9.42403760549076</c:v>
                </c:pt>
                <c:pt idx="93">
                  <c:v>-9.64015731225274</c:v>
                </c:pt>
                <c:pt idx="94">
                  <c:v>-9.86107333127316</c:v>
                </c:pt>
                <c:pt idx="95">
                  <c:v>-10.0868809741518</c:v>
                </c:pt>
                <c:pt idx="96">
                  <c:v>-10.3176766693226</c:v>
                </c:pt>
                <c:pt idx="97">
                  <c:v>-10.5535579173358</c:v>
                </c:pt>
                <c:pt idx="98">
                  <c:v>-10.794623240968</c:v>
                </c:pt>
                <c:pt idx="99">
                  <c:v>-11.040972129848</c:v>
                </c:pt>
                <c:pt idx="100">
                  <c:v>-11.2927049792725</c:v>
                </c:pt>
                <c:pt idx="101">
                  <c:v>-11.5499230228809</c:v>
                </c:pt>
                <c:pt idx="102">
                  <c:v>-11.8127282588425</c:v>
                </c:pt>
                <c:pt idx="103">
                  <c:v>-12.081223369206</c:v>
                </c:pt>
                <c:pt idx="104">
                  <c:v>-12.3555116320535</c:v>
                </c:pt>
                <c:pt idx="105">
                  <c:v>-12.6356968260919</c:v>
                </c:pt>
                <c:pt idx="106">
                  <c:v>-12.921883127314</c:v>
                </c:pt>
                <c:pt idx="107">
                  <c:v>-13.214174997356</c:v>
                </c:pt>
                <c:pt idx="108">
                  <c:v>-13.5126770631783</c:v>
                </c:pt>
                <c:pt idx="109">
                  <c:v>-13.8174939876974</c:v>
                </c:pt>
                <c:pt idx="110">
                  <c:v>-14.1287303310035</c:v>
                </c:pt>
                <c:pt idx="111">
                  <c:v>-14.4464904017975</c:v>
                </c:pt>
                <c:pt idx="112">
                  <c:v>-14.770878098703</c:v>
                </c:pt>
                <c:pt idx="113">
                  <c:v>-15.1019967411119</c:v>
                </c:pt>
                <c:pt idx="114">
                  <c:v>-15.4399488892454</c:v>
                </c:pt>
                <c:pt idx="115">
                  <c:v>-15.7848361531357</c:v>
                </c:pt>
                <c:pt idx="116">
                  <c:v>-16.1367589902538</c:v>
                </c:pt>
                <c:pt idx="117">
                  <c:v>-16.4958164915523</c:v>
                </c:pt>
                <c:pt idx="118">
                  <c:v>-16.8621061557183</c:v>
                </c:pt>
                <c:pt idx="119">
                  <c:v>-17.2357236514844</c:v>
                </c:pt>
                <c:pt idx="120">
                  <c:v>-17.6167625678925</c:v>
                </c:pt>
                <c:pt idx="121">
                  <c:v>-18.0053141524649</c:v>
                </c:pt>
                <c:pt idx="122">
                  <c:v>-18.4014670372995</c:v>
                </c:pt>
                <c:pt idx="123">
                  <c:v>-18.8053069531836</c:v>
                </c:pt>
                <c:pt idx="124">
                  <c:v>-19.2169164318957</c:v>
                </c:pt>
                <c:pt idx="125">
                  <c:v>-19.6363744969601</c:v>
                </c:pt>
                <c:pt idx="126">
                  <c:v>-20.0637563432137</c:v>
                </c:pt>
                <c:pt idx="127">
                  <c:v>-20.4991330056484</c:v>
                </c:pt>
                <c:pt idx="128">
                  <c:v>-20.9425710181128</c:v>
                </c:pt>
                <c:pt idx="129">
                  <c:v>-21.3941320625807</c:v>
                </c:pt>
                <c:pt idx="130">
                  <c:v>-21.8538726098143</c:v>
                </c:pt>
                <c:pt idx="131">
                  <c:v>-22.3218435524096</c:v>
                </c:pt>
                <c:pt idx="132">
                  <c:v>-22.798089831336</c:v>
                </c:pt>
                <c:pt idx="133">
                  <c:v>-23.2826500572585</c:v>
                </c:pt>
                <c:pt idx="134">
                  <c:v>-23.7755561280664</c:v>
                </c:pt>
                <c:pt idx="135">
                  <c:v>-24.2768328442186</c:v>
                </c:pt>
                <c:pt idx="136">
                  <c:v>-24.7864975236649</c:v>
                </c:pt>
                <c:pt idx="137">
                  <c:v>-25.3045596182808</c:v>
                </c:pt>
                <c:pt idx="138">
                  <c:v>-25.8310203339146</c:v>
                </c:pt>
                <c:pt idx="139">
                  <c:v>-26.3658722563189</c:v>
                </c:pt>
                <c:pt idx="140">
                  <c:v>-26.9090989853863</c:v>
                </c:pt>
                <c:pt idx="141">
                  <c:v>-27.4606747802733</c:v>
                </c:pt>
                <c:pt idx="142">
                  <c:v>-28.020564218133</c:v>
                </c:pt>
                <c:pt idx="143">
                  <c:v>-28.5887218693023</c:v>
                </c:pt>
                <c:pt idx="144">
                  <c:v>-29.1650919919104</c:v>
                </c:pt>
                <c:pt idx="145">
                  <c:v>-29.7496082489595</c:v>
                </c:pt>
                <c:pt idx="146">
                  <c:v>-30.3421934510013</c:v>
                </c:pt>
                <c:pt idx="147">
                  <c:v>-30.9427593275747</c:v>
                </c:pt>
                <c:pt idx="148">
                  <c:v>-31.5512063305835</c:v>
                </c:pt>
                <c:pt idx="149">
                  <c:v>-32.1674234727718</c:v>
                </c:pt>
                <c:pt idx="150">
                  <c:v>-32.7912882044015</c:v>
                </c:pt>
                <c:pt idx="151">
                  <c:v>-33.4226663311382</c:v>
                </c:pt>
                <c:pt idx="152">
                  <c:v>-34.061411976022</c:v>
                </c:pt>
                <c:pt idx="153">
                  <c:v>-34.7073675882222</c:v>
                </c:pt>
                <c:pt idx="154">
                  <c:v>-35.3603640010493</c:v>
                </c:pt>
                <c:pt idx="155">
                  <c:v>-36.0202205414481</c:v>
                </c:pt>
                <c:pt idx="156">
                  <c:v>-36.6867451928738</c:v>
                </c:pt>
                <c:pt idx="157">
                  <c:v>-37.3597348131182</c:v>
                </c:pt>
                <c:pt idx="158">
                  <c:v>-38.0389754082576</c:v>
                </c:pt>
                <c:pt idx="159">
                  <c:v>-38.7242424634739</c:v>
                </c:pt>
                <c:pt idx="160">
                  <c:v>-39.4153013310407</c:v>
                </c:pt>
                <c:pt idx="161">
                  <c:v>-40.1119076752809</c:v>
                </c:pt>
                <c:pt idx="162">
                  <c:v>-40.8138079737987</c:v>
                </c:pt>
                <c:pt idx="163">
                  <c:v>-41.520740073758</c:v>
                </c:pt>
                <c:pt idx="164">
                  <c:v>-42.232433801454</c:v>
                </c:pt>
                <c:pt idx="165">
                  <c:v>-42.9486116228842</c:v>
                </c:pt>
                <c:pt idx="166">
                  <c:v>-43.6689893525044</c:v>
                </c:pt>
                <c:pt idx="167">
                  <c:v>-44.3932769068381</c:v>
                </c:pt>
                <c:pt idx="168">
                  <c:v>-45.1211790991233</c:v>
                </c:pt>
                <c:pt idx="169">
                  <c:v>-45.852396470723</c:v>
                </c:pt>
                <c:pt idx="170">
                  <c:v>-46.5866261546101</c:v>
                </c:pt>
                <c:pt idx="171">
                  <c:v>-47.3235627658674</c:v>
                </c:pt>
                <c:pt idx="172">
                  <c:v>-48.0628993138311</c:v>
                </c:pt>
                <c:pt idx="173">
                  <c:v>-48.8043281302493</c:v>
                </c:pt>
                <c:pt idx="174">
                  <c:v>-49.5475418076382</c:v>
                </c:pt>
                <c:pt idx="175">
                  <c:v>-50.2922341418946</c:v>
                </c:pt>
                <c:pt idx="176">
                  <c:v>-51.0381010731783</c:v>
                </c:pt>
                <c:pt idx="177">
                  <c:v>-51.7848416190874</c:v>
                </c:pt>
                <c:pt idx="178">
                  <c:v>-52.5321587942569</c:v>
                </c:pt>
                <c:pt idx="179">
                  <c:v>-53.27976051065</c:v>
                </c:pt>
                <c:pt idx="180">
                  <c:v>-54.0273604530648</c:v>
                </c:pt>
                <c:pt idx="181">
                  <c:v>-54.7746789246431</c:v>
                </c:pt>
                <c:pt idx="182">
                  <c:v>-55.5214436575307</c:v>
                </c:pt>
                <c:pt idx="183">
                  <c:v>-56.2673905842225</c:v>
                </c:pt>
                <c:pt idx="184">
                  <c:v>-57.0122645655752</c:v>
                </c:pt>
                <c:pt idx="185">
                  <c:v>-57.7558200719292</c:v>
                </c:pt>
                <c:pt idx="186">
                  <c:v>-58.4978218142944</c:v>
                </c:pt>
                <c:pt idx="187">
                  <c:v>-59.2380453230641</c:v>
                </c:pt>
                <c:pt idx="188">
                  <c:v>-59.9762774722541</c:v>
                </c:pt>
                <c:pt idx="189">
                  <c:v>-60.71231694779</c:v>
                </c:pt>
                <c:pt idx="190">
                  <c:v>-61.4459746588956</c:v>
                </c:pt>
                <c:pt idx="191">
                  <c:v>-62.1770740921331</c:v>
                </c:pt>
                <c:pt idx="192">
                  <c:v>-62.9054516081567</c:v>
                </c:pt>
                <c:pt idx="193">
                  <c:v>-63.630956681678</c:v>
                </c:pt>
                <c:pt idx="194">
                  <c:v>-64.3534520856001</c:v>
                </c:pt>
                <c:pt idx="195">
                  <c:v>-65.0728140206538</c:v>
                </c:pt>
                <c:pt idx="196">
                  <c:v>-65.7889321922405</c:v>
                </c:pt>
                <c:pt idx="197">
                  <c:v>-66.5017098364946</c:v>
                </c:pt>
                <c:pt idx="198">
                  <c:v>-67.2110636978565</c:v>
                </c:pt>
                <c:pt idx="199">
                  <c:v>-67.9169239606738</c:v>
                </c:pt>
                <c:pt idx="200">
                  <c:v>-68.6192341375363</c:v>
                </c:pt>
                <c:pt idx="201">
                  <c:v>-69.3179509171934</c:v>
                </c:pt>
                <c:pt idx="202">
                  <c:v>-70.0130439750054</c:v>
                </c:pt>
                <c:pt idx="203">
                  <c:v>-70.7044957489353</c:v>
                </c:pt>
                <c:pt idx="204">
                  <c:v>-71.3923011841289</c:v>
                </c:pt>
                <c:pt idx="205">
                  <c:v>-72.0764674491021</c:v>
                </c:pt>
                <c:pt idx="206">
                  <c:v>-72.7570136265306</c:v>
                </c:pt>
                <c:pt idx="207">
                  <c:v>-73.4339703815593</c:v>
                </c:pt>
                <c:pt idx="208">
                  <c:v>-74.1073796104572</c:v>
                </c:pt>
                <c:pt idx="209">
                  <c:v>-74.7772940723356</c:v>
                </c:pt>
                <c:pt idx="210">
                  <c:v>-75.4437770065019</c:v>
                </c:pt>
                <c:pt idx="211">
                  <c:v>-76.106901737887</c:v>
                </c:pt>
                <c:pt idx="212">
                  <c:v>-76.7667512728153</c:v>
                </c:pt>
                <c:pt idx="213">
                  <c:v>-77.4234178872261</c:v>
                </c:pt>
                <c:pt idx="214">
                  <c:v>-78.0770027092701</c:v>
                </c:pt>
                <c:pt idx="215">
                  <c:v>-78.72761529804</c:v>
                </c:pt>
                <c:pt idx="216">
                  <c:v>-79.3753732200007</c:v>
                </c:pt>
                <c:pt idx="217">
                  <c:v>-80.0204016245194</c:v>
                </c:pt>
                <c:pt idx="218">
                  <c:v>-80.6628328197067</c:v>
                </c:pt>
                <c:pt idx="219">
                  <c:v>-81.302805849618</c:v>
                </c:pt>
                <c:pt idx="220">
                  <c:v>-81.9404660736888</c:v>
                </c:pt>
                <c:pt idx="221">
                  <c:v>-82.5759647491258</c:v>
                </c:pt>
                <c:pt idx="222">
                  <c:v>-83.2094586168117</c:v>
                </c:pt>
                <c:pt idx="223">
                  <c:v>-83.8411094911498</c:v>
                </c:pt>
                <c:pt idx="224">
                  <c:v>-84.4710838541235</c:v>
                </c:pt>
                <c:pt idx="225">
                  <c:v>-85.0995524537335</c:v>
                </c:pt>
                <c:pt idx="226">
                  <c:v>-85.7266899068485</c:v>
                </c:pt>
                <c:pt idx="227">
                  <c:v>-86.3526743063987</c:v>
                </c:pt>
                <c:pt idx="228">
                  <c:v>-86.9776868327495</c:v>
                </c:pt>
                <c:pt idx="229">
                  <c:v>-87.6019113690027</c:v>
                </c:pt>
                <c:pt idx="230">
                  <c:v>-88.2255341198878</c:v>
                </c:pt>
                <c:pt idx="231">
                  <c:v>-88.8487432338547</c:v>
                </c:pt>
                <c:pt idx="232">
                  <c:v>-89.4717284279049</c:v>
                </c:pt>
                <c:pt idx="233">
                  <c:v>-90.0946806146661</c:v>
                </c:pt>
                <c:pt idx="234">
                  <c:v>-90.7177915311635</c:v>
                </c:pt>
                <c:pt idx="235">
                  <c:v>-91.3412533687285</c:v>
                </c:pt>
                <c:pt idx="236">
                  <c:v>-91.9652584034566</c:v>
                </c:pt>
                <c:pt idx="237">
                  <c:v>-92.589998626622</c:v>
                </c:pt>
                <c:pt idx="238">
                  <c:v>-93.2156653744647</c:v>
                </c:pt>
                <c:pt idx="239">
                  <c:v>-93.8424489567661</c:v>
                </c:pt>
                <c:pt idx="240">
                  <c:v>-94.4705382836615</c:v>
                </c:pt>
                <c:pt idx="241">
                  <c:v>-95.1001204901642</c:v>
                </c:pt>
                <c:pt idx="242">
                  <c:v>-95.7313805579175</c:v>
                </c:pt>
                <c:pt idx="243">
                  <c:v>-96.3645009337451</c:v>
                </c:pt>
                <c:pt idx="244">
                  <c:v>-96.9996611446281</c:v>
                </c:pt>
                <c:pt idx="245">
                  <c:v>-97.637037408812</c:v>
                </c:pt>
                <c:pt idx="246">
                  <c:v>-98.276802242827</c:v>
                </c:pt>
                <c:pt idx="247">
                  <c:v>-98.9191240642944</c:v>
                </c:pt>
                <c:pt idx="248">
                  <c:v>-99.5641667905009</c:v>
                </c:pt>
                <c:pt idx="249">
                  <c:v>-100.212089432823</c:v>
                </c:pt>
                <c:pt idx="250">
                  <c:v>-100.863045687219</c:v>
                </c:pt>
                <c:pt idx="251">
                  <c:v>-101.517183521123</c:v>
                </c:pt>
                <c:pt idx="252">
                  <c:v>-102.174644757223</c:v>
                </c:pt>
                <c:pt idx="253">
                  <c:v>-102.835564654762</c:v>
                </c:pt>
                <c:pt idx="254">
                  <c:v>-103.500071489137</c:v>
                </c:pt>
                <c:pt idx="255">
                  <c:v>-104.168286130746</c:v>
                </c:pt>
                <c:pt idx="256">
                  <c:v>-104.840321624211</c:v>
                </c:pt>
                <c:pt idx="257">
                  <c:v>-105.516282769268</c:v>
                </c:pt>
                <c:pt idx="258">
                  <c:v>-106.196265704787</c:v>
                </c:pt>
                <c:pt idx="259">
                  <c:v>-106.880357497588</c:v>
                </c:pt>
                <c:pt idx="260">
                  <c:v>-107.568635737864</c:v>
                </c:pt>
                <c:pt idx="261">
                  <c:v>-108.261168143238</c:v>
                </c:pt>
                <c:pt idx="262">
                  <c:v>-108.958012173621</c:v>
                </c:pt>
                <c:pt idx="263">
                  <c:v>-109.659214659217</c:v>
                </c:pt>
                <c:pt idx="264">
                  <c:v>-110.364811444177</c:v>
                </c:pt>
                <c:pt idx="265">
                  <c:v>-111.074827048539</c:v>
                </c:pt>
                <c:pt idx="266">
                  <c:v>-111.789274351223</c:v>
                </c:pt>
                <c:pt idx="267">
                  <c:v>-112.508154296951</c:v>
                </c:pt>
                <c:pt idx="268">
                  <c:v>-113.231455630048</c:v>
                </c:pt>
                <c:pt idx="269">
                  <c:v>-113.959154658134</c:v>
                </c:pt>
                <c:pt idx="270">
                  <c:v>-114.691215048744</c:v>
                </c:pt>
                <c:pt idx="271">
                  <c:v>-115.427587661922</c:v>
                </c:pt>
                <c:pt idx="272">
                  <c:v>-116.168210421759</c:v>
                </c:pt>
                <c:pt idx="273">
                  <c:v>-116.913008229812</c:v>
                </c:pt>
                <c:pt idx="274">
                  <c:v>-117.661892923189</c:v>
                </c:pt>
                <c:pt idx="275">
                  <c:v>-118.414763279922</c:v>
                </c:pt>
                <c:pt idx="276">
                  <c:v>-119.17150507408</c:v>
                </c:pt>
                <c:pt idx="277">
                  <c:v>-119.931991182781</c:v>
                </c:pt>
                <c:pt idx="278">
                  <c:v>-120.696081747003</c:v>
                </c:pt>
                <c:pt idx="279">
                  <c:v>-121.463624387736</c:v>
                </c:pt>
                <c:pt idx="280">
                  <c:v>-122.234454478676</c:v>
                </c:pt>
                <c:pt idx="281">
                  <c:v>-123.00839547619</c:v>
                </c:pt>
                <c:pt idx="282">
                  <c:v>-123.785259306922</c:v>
                </c:pt>
                <c:pt idx="283">
                  <c:v>-124.564846812828</c:v>
                </c:pt>
                <c:pt idx="284">
                  <c:v>-125.346948253036</c:v>
                </c:pt>
                <c:pt idx="285">
                  <c:v>-126.131343861321</c:v>
                </c:pt>
                <c:pt idx="286">
                  <c:v>-126.917804457526</c:v>
                </c:pt>
                <c:pt idx="287">
                  <c:v>-127.706092110665</c:v>
                </c:pt>
                <c:pt idx="288">
                  <c:v>-128.495960850991</c:v>
                </c:pt>
                <c:pt idx="289">
                  <c:v>-129.287157427737</c:v>
                </c:pt>
                <c:pt idx="290">
                  <c:v>-130.079422108782</c:v>
                </c:pt>
                <c:pt idx="291">
                  <c:v>-130.872489518032</c:v>
                </c:pt>
                <c:pt idx="292">
                  <c:v>-131.666089505876</c:v>
                </c:pt>
                <c:pt idx="293">
                  <c:v>-132.459948047703</c:v>
                </c:pt>
                <c:pt idx="294">
                  <c:v>-133.253788165164</c:v>
                </c:pt>
                <c:pt idx="295">
                  <c:v>-134.047330864561</c:v>
                </c:pt>
                <c:pt idx="296">
                  <c:v>-134.840296086585</c:v>
                </c:pt>
                <c:pt idx="297">
                  <c:v>-135.632403661479</c:v>
                </c:pt>
                <c:pt idx="298">
                  <c:v>-136.423374263617</c:v>
                </c:pt>
                <c:pt idx="299">
                  <c:v>-137.212930359549</c:v>
                </c:pt>
                <c:pt idx="300">
                  <c:v>-138.000797143595</c:v>
                </c:pt>
                <c:pt idx="301">
                  <c:v>-138.786703455254</c:v>
                </c:pt>
                <c:pt idx="302">
                  <c:v>-139.570382672895</c:v>
                </c:pt>
                <c:pt idx="303">
                  <c:v>-140.351573578486</c:v>
                </c:pt>
                <c:pt idx="304">
                  <c:v>-141.130021188448</c:v>
                </c:pt>
                <c:pt idx="305">
                  <c:v>-141.905477546126</c:v>
                </c:pt>
                <c:pt idx="306">
                  <c:v>-142.677702471771</c:v>
                </c:pt>
                <c:pt idx="307">
                  <c:v>-143.446464266443</c:v>
                </c:pt>
                <c:pt idx="308">
                  <c:v>-144.21154036669</c:v>
                </c:pt>
                <c:pt idx="309">
                  <c:v>-144.972717947436</c:v>
                </c:pt>
                <c:pt idx="310">
                  <c:v>-145.729794470977</c:v>
                </c:pt>
                <c:pt idx="311">
                  <c:v>-146.482578180573</c:v>
                </c:pt>
                <c:pt idx="312">
                  <c:v>-147.230888537626</c:v>
                </c:pt>
                <c:pt idx="313">
                  <c:v>-147.974556601945</c:v>
                </c:pt>
                <c:pt idx="314">
                  <c:v>-148.713425355112</c:v>
                </c:pt>
                <c:pt idx="315">
                  <c:v>-149.447349967435</c:v>
                </c:pt>
                <c:pt idx="316">
                  <c:v>-150.176198009403</c:v>
                </c:pt>
                <c:pt idx="317">
                  <c:v>-150.899849608982</c:v>
                </c:pt>
                <c:pt idx="318">
                  <c:v>-151.618197556438</c:v>
                </c:pt>
                <c:pt idx="319">
                  <c:v>-152.331147358738</c:v>
                </c:pt>
                <c:pt idx="320">
                  <c:v>-153.038617245825</c:v>
                </c:pt>
                <c:pt idx="321">
                  <c:v>-153.740538131329</c:v>
                </c:pt>
                <c:pt idx="322">
                  <c:v>-154.436853530477</c:v>
                </c:pt>
                <c:pt idx="323">
                  <c:v>-155.127519438104</c:v>
                </c:pt>
                <c:pt idx="324">
                  <c:v>-155.812504169806</c:v>
                </c:pt>
                <c:pt idx="325">
                  <c:v>-156.491788169312</c:v>
                </c:pt>
                <c:pt idx="326">
                  <c:v>-157.16536378525</c:v>
                </c:pt>
                <c:pt idx="327">
                  <c:v>-157.83323502041</c:v>
                </c:pt>
                <c:pt idx="328">
                  <c:v>-158.495417256648</c:v>
                </c:pt>
                <c:pt idx="329">
                  <c:v>-159.151936958469</c:v>
                </c:pt>
                <c:pt idx="330">
                  <c:v>-159.802831358268</c:v>
                </c:pt>
                <c:pt idx="331">
                  <c:v>-160.448148126096</c:v>
                </c:pt>
                <c:pt idx="332">
                  <c:v>-161.087945026694</c:v>
                </c:pt>
                <c:pt idx="333">
                  <c:v>-161.722289566405</c:v>
                </c:pt>
                <c:pt idx="334">
                  <c:v>-162.351258632417</c:v>
                </c:pt>
                <c:pt idx="335">
                  <c:v>-162.974938126622</c:v>
                </c:pt>
                <c:pt idx="336">
                  <c:v>-163.593422596243</c:v>
                </c:pt>
                <c:pt idx="337">
                  <c:v>-164.206814863153</c:v>
                </c:pt>
                <c:pt idx="338">
                  <c:v>-164.815225653688</c:v>
                </c:pt>
                <c:pt idx="339">
                  <c:v>-165.41877323057</c:v>
                </c:pt>
                <c:pt idx="340">
                  <c:v>-166.017583028347</c:v>
                </c:pt>
                <c:pt idx="341">
                  <c:v>-166.61178729365</c:v>
                </c:pt>
                <c:pt idx="342">
                  <c:v>-167.20152473136</c:v>
                </c:pt>
                <c:pt idx="343">
                  <c:v>-167.786940157632</c:v>
                </c:pt>
                <c:pt idx="344">
                  <c:v>-168.368184160565</c:v>
                </c:pt>
                <c:pt idx="345">
                  <c:v>-168.945412769191</c:v>
                </c:pt>
                <c:pt idx="346">
                  <c:v>-169.51878713128</c:v>
                </c:pt>
                <c:pt idx="347">
                  <c:v>-170.088473200345</c:v>
                </c:pt>
                <c:pt idx="348">
                  <c:v>-170.654641432139</c:v>
                </c:pt>
                <c:pt idx="349">
                  <c:v>-171.217466490763</c:v>
                </c:pt>
                <c:pt idx="350">
                  <c:v>-171.777126964467</c:v>
                </c:pt>
                <c:pt idx="351">
                  <c:v>-172.333805091077</c:v>
                </c:pt>
                <c:pt idx="352">
                  <c:v>-172.88768649293</c:v>
                </c:pt>
                <c:pt idx="353">
                  <c:v>-173.438959921089</c:v>
                </c:pt>
                <c:pt idx="354">
                  <c:v>-173.987817008561</c:v>
                </c:pt>
                <c:pt idx="355">
                  <c:v>-174.534452032164</c:v>
                </c:pt>
                <c:pt idx="356">
                  <c:v>-175.079061682618</c:v>
                </c:pt>
                <c:pt idx="357">
                  <c:v>-175.621844842414</c:v>
                </c:pt>
                <c:pt idx="358">
                  <c:v>-176.163002370924</c:v>
                </c:pt>
                <c:pt idx="359">
                  <c:v>-176.702736896203</c:v>
                </c:pt>
                <c:pt idx="360">
                  <c:v>-177.241252612896</c:v>
                </c:pt>
                <c:pt idx="361">
                  <c:v>-177.778755085607</c:v>
                </c:pt>
                <c:pt idx="362">
                  <c:v>-178.315451057075</c:v>
                </c:pt>
                <c:pt idx="363">
                  <c:v>-178.851548260487</c:v>
                </c:pt>
                <c:pt idx="364">
                  <c:v>-179.387255235207</c:v>
                </c:pt>
                <c:pt idx="365">
                  <c:v>-179.922781145212</c:v>
                </c:pt>
                <c:pt idx="366">
                  <c:v>179.541664400507</c:v>
                </c:pt>
                <c:pt idx="367">
                  <c:v>179.005871526333</c:v>
                </c:pt>
                <c:pt idx="368">
                  <c:v>178.469630267932</c:v>
                </c:pt>
                <c:pt idx="369">
                  <c:v>177.932730750485</c:v>
                </c:pt>
                <c:pt idx="370">
                  <c:v>177.394963367968</c:v>
                </c:pt>
                <c:pt idx="371">
                  <c:v>176.856118964272</c:v>
                </c:pt>
                <c:pt idx="372">
                  <c:v>176.315989016925</c:v>
                </c:pt>
                <c:pt idx="373">
                  <c:v>175.774365824151</c:v>
                </c:pt>
                <c:pt idx="374">
                  <c:v>175.231042696057</c:v>
                </c:pt>
                <c:pt idx="375">
                  <c:v>174.685814150645</c:v>
                </c:pt>
                <c:pt idx="376">
                  <c:v>174.138476115401</c:v>
                </c:pt>
                <c:pt idx="377">
                  <c:v>173.588826135164</c:v>
                </c:pt>
                <c:pt idx="378">
                  <c:v>173.036663586951</c:v>
                </c:pt>
                <c:pt idx="379">
                  <c:v>172.481789902406</c:v>
                </c:pt>
                <c:pt idx="380">
                  <c:v>171.924008798501</c:v>
                </c:pt>
                <c:pt idx="381">
                  <c:v>171.363126517086</c:v>
                </c:pt>
                <c:pt idx="382">
                  <c:v>170.798952073838</c:v>
                </c:pt>
                <c:pt idx="383">
                  <c:v>170.231297517129</c:v>
                </c:pt>
                <c:pt idx="384">
                  <c:v>169.659978197262</c:v>
                </c:pt>
                <c:pt idx="385">
                  <c:v>169.084813046493</c:v>
                </c:pt>
                <c:pt idx="386">
                  <c:v>168.505624870151</c:v>
                </c:pt>
                <c:pt idx="387">
                  <c:v>167.922240649162</c:v>
                </c:pt>
                <c:pt idx="388">
                  <c:v>167.334491854134</c:v>
                </c:pt>
                <c:pt idx="389">
                  <c:v>166.742214771118</c:v>
                </c:pt>
                <c:pt idx="390">
                  <c:v>166.145250839073</c:v>
                </c:pt>
                <c:pt idx="391">
                  <c:v>165.54344699891</c:v>
                </c:pt>
                <c:pt idx="392">
                  <c:v>164.93665605395</c:v>
                </c:pt>
                <c:pt idx="393">
                  <c:v>164.324737041447</c:v>
                </c:pt>
                <c:pt idx="394">
                  <c:v>163.707555614752</c:v>
                </c:pt>
                <c:pt idx="395">
                  <c:v>163.08498443552</c:v>
                </c:pt>
                <c:pt idx="396">
                  <c:v>162.456903575252</c:v>
                </c:pt>
                <c:pt idx="397">
                  <c:v>161.823200925283</c:v>
                </c:pt>
                <c:pt idx="398">
                  <c:v>161.183772614205</c:v>
                </c:pt>
                <c:pt idx="399">
                  <c:v>160.538523431514</c:v>
                </c:pt>
                <c:pt idx="400">
                  <c:v>159.887367256137</c:v>
                </c:pt>
                <c:pt idx="401">
                  <c:v>159.230227488308</c:v>
                </c:pt>
                <c:pt idx="402">
                  <c:v>158.567037483084</c:v>
                </c:pt>
                <c:pt idx="403">
                  <c:v>157.897740983642</c:v>
                </c:pt>
                <c:pt idx="404">
                  <c:v>157.222292552303</c:v>
                </c:pt>
                <c:pt idx="405">
                  <c:v>156.540657997082</c:v>
                </c:pt>
                <c:pt idx="406">
                  <c:v>155.852814791391</c:v>
                </c:pt>
                <c:pt idx="407">
                  <c:v>155.158752484372</c:v>
                </c:pt>
                <c:pt idx="408">
                  <c:v>154.458473099218</c:v>
                </c:pt>
                <c:pt idx="409">
                  <c:v>153.751991516673</c:v>
                </c:pt>
                <c:pt idx="410">
                  <c:v>153.03933584086</c:v>
                </c:pt>
                <c:pt idx="411">
                  <c:v>152.320547744425</c:v>
                </c:pt>
                <c:pt idx="412">
                  <c:v>151.595682789992</c:v>
                </c:pt>
                <c:pt idx="413">
                  <c:v>150.864810724854</c:v>
                </c:pt>
                <c:pt idx="414">
                  <c:v>150.12801574582</c:v>
                </c:pt>
                <c:pt idx="415">
                  <c:v>149.385396731194</c:v>
                </c:pt>
                <c:pt idx="416">
                  <c:v>148.637067436885</c:v>
                </c:pt>
                <c:pt idx="417">
                  <c:v>147.883156653785</c:v>
                </c:pt>
                <c:pt idx="418">
                  <c:v>147.123808323679</c:v>
                </c:pt>
                <c:pt idx="419">
                  <c:v>146.359181611102</c:v>
                </c:pt>
                <c:pt idx="420">
                  <c:v>145.589450928817</c:v>
                </c:pt>
                <c:pt idx="421">
                  <c:v>144.814805914816</c:v>
                </c:pt>
                <c:pt idx="422">
                  <c:v>144.035451359037</c:v>
                </c:pt>
                <c:pt idx="423">
                  <c:v>143.251607078327</c:v>
                </c:pt>
                <c:pt idx="424">
                  <c:v>142.463507738533</c:v>
                </c:pt>
                <c:pt idx="425">
                  <c:v>141.671402622995</c:v>
                </c:pt>
                <c:pt idx="426">
                  <c:v>140.8755553471</c:v>
                </c:pt>
                <c:pt idx="427">
                  <c:v>140.076243519019</c:v>
                </c:pt>
                <c:pt idx="428">
                  <c:v>139.273758347155</c:v>
                </c:pt>
                <c:pt idx="429">
                  <c:v>138.468404195277</c:v>
                </c:pt>
                <c:pt idx="430">
                  <c:v>137.660498086759</c:v>
                </c:pt>
                <c:pt idx="431">
                  <c:v>136.850369159769</c:v>
                </c:pt>
                <c:pt idx="432">
                  <c:v>136.038358075649</c:v>
                </c:pt>
                <c:pt idx="433">
                  <c:v>135.224816383117</c:v>
                </c:pt>
                <c:pt idx="434">
                  <c:v>134.410105841274</c:v>
                </c:pt>
                <c:pt idx="435">
                  <c:v>133.594597704686</c:v>
                </c:pt>
                <c:pt idx="436">
                  <c:v>132.778671974104</c:v>
                </c:pt>
                <c:pt idx="437">
                  <c:v>131.962716616546</c:v>
                </c:pt>
                <c:pt idx="438">
                  <c:v>131.147126758672</c:v>
                </c:pt>
                <c:pt idx="439">
                  <c:v>130.332303857423</c:v>
                </c:pt>
                <c:pt idx="440">
                  <c:v>129.518654851961</c:v>
                </c:pt>
                <c:pt idx="441">
                  <c:v>128.706591300914</c:v>
                </c:pt>
                <c:pt idx="442">
                  <c:v>127.896528508816</c:v>
                </c:pt>
                <c:pt idx="443">
                  <c:v>127.088884645529</c:v>
                </c:pt>
                <c:pt idx="444">
                  <c:v>126.284079862203</c:v>
                </c:pt>
                <c:pt idx="445">
                  <c:v>125.482535407107</c:v>
                </c:pt>
                <c:pt idx="446">
                  <c:v>124.684672744382</c:v>
                </c:pt>
                <c:pt idx="447">
                  <c:v>123.890912678447</c:v>
                </c:pt>
                <c:pt idx="448">
                  <c:v>123.101674486473</c:v>
                </c:pt>
                <c:pt idx="449">
                  <c:v>122.317375060995</c:v>
                </c:pt>
                <c:pt idx="450">
                  <c:v>121.538428064368</c:v>
                </c:pt>
                <c:pt idx="451">
                  <c:v>120.765243096476</c:v>
                </c:pt>
                <c:pt idx="452">
                  <c:v>119.998224876757</c:v>
                </c:pt>
                <c:pt idx="453">
                  <c:v>119.237772441337</c:v>
                </c:pt>
                <c:pt idx="454">
                  <c:v>118.48427835582</c:v>
                </c:pt>
                <c:pt idx="455">
                  <c:v>117.738127944069</c:v>
                </c:pt>
                <c:pt idx="456">
                  <c:v>116.99969853317</c:v>
                </c:pt>
                <c:pt idx="457">
                  <c:v>116.26935871468</c:v>
                </c:pt>
                <c:pt idx="458">
                  <c:v>115.547467622219</c:v>
                </c:pt>
                <c:pt idx="459">
                  <c:v>114.834374225494</c:v>
                </c:pt>
                <c:pt idx="460">
                  <c:v>114.130416640939</c:v>
                </c:pt>
                <c:pt idx="461">
                  <c:v>113.435921459292</c:v>
                </c:pt>
                <c:pt idx="462">
                  <c:v>112.751203090642</c:v>
                </c:pt>
                <c:pt idx="463">
                  <c:v>112.076563127696</c:v>
                </c:pt>
                <c:pt idx="464">
                  <c:v>111.412289728353</c:v>
                </c:pt>
                <c:pt idx="465">
                  <c:v>110.75865701894</c:v>
                </c:pt>
                <c:pt idx="466">
                  <c:v>110.115924519826</c:v>
                </c:pt>
                <c:pt idx="467">
                  <c:v>109.484336595477</c:v>
                </c:pt>
                <c:pt idx="468">
                  <c:v>108.864121931342</c:v>
                </c:pt>
                <c:pt idx="469">
                  <c:v>108.255493040297</c:v>
                </c:pt>
                <c:pt idx="470">
                  <c:v>107.658645801657</c:v>
                </c:pt>
                <c:pt idx="471">
                  <c:v>107.073759036024</c:v>
                </c:pt>
                <c:pt idx="472">
                  <c:v>106.500994119456</c:v>
                </c:pt>
                <c:pt idx="473">
                  <c:v>105.940494640545</c:v>
                </c:pt>
                <c:pt idx="474">
                  <c:v>105.392386104095</c:v>
                </c:pt>
                <c:pt idx="475">
                  <c:v>104.856775685061</c:v>
                </c:pt>
                <c:pt idx="476">
                  <c:v>104.33375203633</c:v>
                </c:pt>
                <c:pt idx="477">
                  <c:v>103.823385153716</c:v>
                </c:pt>
                <c:pt idx="478">
                  <c:v>103.325726301334</c:v>
                </c:pt>
                <c:pt idx="479">
                  <c:v>102.840808000104</c:v>
                </c:pt>
                <c:pt idx="480">
                  <c:v>102.368644081744</c:v>
                </c:pt>
                <c:pt idx="481">
                  <c:v>101.909229810123</c:v>
                </c:pt>
                <c:pt idx="482">
                  <c:v>101.462542071234</c:v>
                </c:pt>
                <c:pt idx="483">
                  <c:v>101.028539632465</c:v>
                </c:pt>
                <c:pt idx="484">
                  <c:v>100.607163471181</c:v>
                </c:pt>
                <c:pt idx="485">
                  <c:v>100.198337171901</c:v>
                </c:pt>
                <c:pt idx="486">
                  <c:v>99.8019673907099</c:v>
                </c:pt>
                <c:pt idx="487">
                  <c:v>99.4179443847772</c:v>
                </c:pt>
                <c:pt idx="488">
                  <c:v>99.0461426042021</c:v>
                </c:pt>
                <c:pt idx="489">
                  <c:v>98.686421342718</c:v>
                </c:pt>
                <c:pt idx="490">
                  <c:v>98.3386254431789</c:v>
                </c:pt>
                <c:pt idx="491">
                  <c:v>98.0025860531656</c:v>
                </c:pt>
                <c:pt idx="492">
                  <c:v>97.678121425557</c:v>
                </c:pt>
                <c:pt idx="493">
                  <c:v>97.3650377584669</c:v>
                </c:pt>
                <c:pt idx="494">
                  <c:v>97.0631300686051</c:v>
                </c:pt>
                <c:pt idx="495">
                  <c:v>96.7721830918452</c:v>
                </c:pt>
                <c:pt idx="496">
                  <c:v>96.4919722046101</c:v>
                </c:pt>
                <c:pt idx="497">
                  <c:v>96.2222643595975</c:v>
                </c:pt>
                <c:pt idx="498">
                  <c:v>95.9628190293635</c:v>
                </c:pt>
                <c:pt idx="499">
                  <c:v>95.7133891513872</c:v>
                </c:pt>
                <c:pt idx="500">
                  <c:v>95.4737220683781</c:v>
                </c:pt>
                <c:pt idx="501">
                  <c:v>95.2435604578702</c:v>
                </c:pt>
                <c:pt idx="502">
                  <c:v>95.0226432454267</c:v>
                </c:pt>
                <c:pt idx="503">
                  <c:v>94.8107064961759</c:v>
                </c:pt>
                <c:pt idx="504">
                  <c:v>94.6074842798036</c:v>
                </c:pt>
                <c:pt idx="505">
                  <c:v>94.4127095046098</c:v>
                </c:pt>
                <c:pt idx="506">
                  <c:v>94.2261147167117</c:v>
                </c:pt>
                <c:pt idx="507">
                  <c:v>94.0474328610133</c:v>
                </c:pt>
                <c:pt idx="508">
                  <c:v>93.876398001069</c:v>
                </c:pt>
                <c:pt idx="509">
                  <c:v>93.7127459955117</c:v>
                </c:pt>
                <c:pt idx="510">
                  <c:v>93.5562151292402</c:v>
                </c:pt>
                <c:pt idx="511">
                  <c:v>93.4065466980628</c:v>
                </c:pt>
                <c:pt idx="512">
                  <c:v>93.2634855459902</c:v>
                </c:pt>
                <c:pt idx="513">
                  <c:v>93.1267805548406</c:v>
                </c:pt>
                <c:pt idx="514">
                  <c:v>92.9961850862389</c:v>
                </c:pt>
                <c:pt idx="515">
                  <c:v>92.8714573765112</c:v>
                </c:pt>
                <c:pt idx="516">
                  <c:v>92.7523608853148</c:v>
                </c:pt>
                <c:pt idx="517">
                  <c:v>92.6386645991888</c:v>
                </c:pt>
                <c:pt idx="518">
                  <c:v>92.5301432914731</c:v>
                </c:pt>
                <c:pt idx="519">
                  <c:v>92.4265777403041</c:v>
                </c:pt>
                <c:pt idx="520">
                  <c:v>92.3277549065785</c:v>
                </c:pt>
                <c:pt idx="521">
                  <c:v>92.233468073958</c:v>
                </c:pt>
                <c:pt idx="522">
                  <c:v>92.1435169531006</c:v>
                </c:pt>
                <c:pt idx="523">
                  <c:v>92.0577077524039</c:v>
                </c:pt>
                <c:pt idx="524">
                  <c:v>91.9758532176017</c:v>
                </c:pt>
                <c:pt idx="525">
                  <c:v>91.8977726425855</c:v>
                </c:pt>
                <c:pt idx="526">
                  <c:v>91.8232918538238</c:v>
                </c:pt>
                <c:pt idx="527">
                  <c:v>91.7522431707361</c:v>
                </c:pt>
                <c:pt idx="528">
                  <c:v>91.684465344325</c:v>
                </c:pt>
                <c:pt idx="529">
                  <c:v>91.6198034763223</c:v>
                </c:pt>
                <c:pt idx="530">
                  <c:v>91.5581089210236</c:v>
                </c:pt>
                <c:pt idx="531">
                  <c:v>91.4992391718896</c:v>
                </c:pt>
                <c:pt idx="532">
                  <c:v>91.4430577349134</c:v>
                </c:pt>
                <c:pt idx="533">
                  <c:v>91.3894339906249</c:v>
                </c:pt>
                <c:pt idx="534">
                  <c:v>91.3382430465091</c:v>
                </c:pt>
                <c:pt idx="535">
                  <c:v>91.2893655814906</c:v>
                </c:pt>
                <c:pt idx="536">
                  <c:v>91.2426876840226</c:v>
                </c:pt>
                <c:pt idx="537">
                  <c:v>91.1981006852022</c:v>
                </c:pt>
                <c:pt idx="538">
                  <c:v>91.1555009882172</c:v>
                </c:pt>
                <c:pt idx="539">
                  <c:v>91.1147898953132</c:v>
                </c:pt>
                <c:pt idx="540">
                  <c:v>91.075873433364</c:v>
                </c:pt>
                <c:pt idx="541">
                  <c:v>91.0386621790154</c:v>
                </c:pt>
              </c:numCache>
            </c:numRef>
          </c:yVal>
          <c:smooth val="1"/>
        </c:ser>
        <c:dLbls>
          <c:showLegendKey val="0"/>
          <c:showVal val="0"/>
          <c:showCatName val="0"/>
          <c:showSerName val="0"/>
          <c:showPercent val="0"/>
          <c:showBubbleSize val="0"/>
        </c:dLbls>
        <c:axId val="175511040"/>
        <c:axId val="175509504"/>
      </c:scatterChart>
      <c:valAx>
        <c:axId val="178188288"/>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90208"/>
        <c:crosses val="autoZero"/>
        <c:crossBetween val="midCat"/>
      </c:valAx>
      <c:valAx>
        <c:axId val="178190208"/>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88288"/>
        <c:crosses val="autoZero"/>
        <c:crossBetween val="midCat"/>
        <c:majorUnit val="20"/>
        <c:minorUnit val="10"/>
      </c:valAx>
      <c:valAx>
        <c:axId val="17551104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09504"/>
        <c:crosses val="autoZero"/>
        <c:crossBetween val="midCat"/>
      </c:valAx>
      <c:valAx>
        <c:axId val="17550950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11040"/>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9ab468d-2a4e-4a53-9b29-363742c6de08}"/>
      </c:ext>
    </c:extLst>
  </c:chart>
  <c:txPr>
    <a:bodyPr/>
    <a:lstStyle/>
    <a:p>
      <a:pPr>
        <a:defRPr lang="pl-PL"/>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Error</a:t>
            </a:r>
            <a:r>
              <a:rPr lang="en-US" baseline="0"/>
              <a:t> Amplifier Transfer</a:t>
            </a:r>
            <a:endParaRPr lang="en-US" baseline="0"/>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Loop_Modeling!$BD$19:$BD$560</c:f>
              <c:numCache>
                <c:formatCode>General</c:formatCode>
                <c:ptCount val="542"/>
                <c:pt idx="0">
                  <c:v>29.5642379063544</c:v>
                </c:pt>
                <c:pt idx="1">
                  <c:v>29.3642892491696</c:v>
                </c:pt>
                <c:pt idx="2">
                  <c:v>29.1643430110291</c:v>
                </c:pt>
                <c:pt idx="3">
                  <c:v>28.9643993058747</c:v>
                </c:pt>
                <c:pt idx="4">
                  <c:v>28.7644582530117</c:v>
                </c:pt>
                <c:pt idx="5">
                  <c:v>28.5645199773615</c:v>
                </c:pt>
                <c:pt idx="6">
                  <c:v>28.3645846097249</c:v>
                </c:pt>
                <c:pt idx="7">
                  <c:v>28.1646522870595</c:v>
                </c:pt>
                <c:pt idx="8">
                  <c:v>27.9647231527681</c:v>
                </c:pt>
                <c:pt idx="9">
                  <c:v>27.7647973570023</c:v>
                </c:pt>
                <c:pt idx="10">
                  <c:v>27.5648750569793</c:v>
                </c:pt>
                <c:pt idx="11">
                  <c:v>27.3649564173139</c:v>
                </c:pt>
                <c:pt idx="12">
                  <c:v>27.1650416103659</c:v>
                </c:pt>
                <c:pt idx="13">
                  <c:v>26.9651308166038</c:v>
                </c:pt>
                <c:pt idx="14">
                  <c:v>26.7652242249861</c:v>
                </c:pt>
                <c:pt idx="15">
                  <c:v>26.5653220333593</c:v>
                </c:pt>
                <c:pt idx="16">
                  <c:v>26.3654244488755</c:v>
                </c:pt>
                <c:pt idx="17">
                  <c:v>26.1655316884288</c:v>
                </c:pt>
                <c:pt idx="18">
                  <c:v>25.9656439791129</c:v>
                </c:pt>
                <c:pt idx="19">
                  <c:v>25.7657615586993</c:v>
                </c:pt>
                <c:pt idx="20">
                  <c:v>25.5658846761384</c:v>
                </c:pt>
                <c:pt idx="21">
                  <c:v>25.3660135920832</c:v>
                </c:pt>
                <c:pt idx="22">
                  <c:v>25.1661485794389</c:v>
                </c:pt>
                <c:pt idx="23">
                  <c:v>24.9662899239362</c:v>
                </c:pt>
                <c:pt idx="24">
                  <c:v>24.7664379247329</c:v>
                </c:pt>
                <c:pt idx="25">
                  <c:v>24.5665928950427</c:v>
                </c:pt>
                <c:pt idx="26">
                  <c:v>24.3667551627938</c:v>
                </c:pt>
                <c:pt idx="27">
                  <c:v>24.1669250713175</c:v>
                </c:pt>
                <c:pt idx="28">
                  <c:v>23.9671029800692</c:v>
                </c:pt>
                <c:pt idx="29">
                  <c:v>23.7672892653832</c:v>
                </c:pt>
                <c:pt idx="30">
                  <c:v>23.5674843212617</c:v>
                </c:pt>
                <c:pt idx="31">
                  <c:v>23.3676885602014</c:v>
                </c:pt>
                <c:pt idx="32">
                  <c:v>23.1679024140575</c:v>
                </c:pt>
                <c:pt idx="33">
                  <c:v>22.968126334949</c:v>
                </c:pt>
                <c:pt idx="34">
                  <c:v>22.7683607962037</c:v>
                </c:pt>
                <c:pt idx="35">
                  <c:v>22.5686062933499</c:v>
                </c:pt>
                <c:pt idx="36">
                  <c:v>22.3688633451511</c:v>
                </c:pt>
                <c:pt idx="37">
                  <c:v>22.1691324946903</c:v>
                </c:pt>
                <c:pt idx="38">
                  <c:v>21.9694143105036</c:v>
                </c:pt>
                <c:pt idx="39">
                  <c:v>21.769709387766</c:v>
                </c:pt>
                <c:pt idx="40">
                  <c:v>21.5700183495323</c:v>
                </c:pt>
                <c:pt idx="41">
                  <c:v>21.3703418480341</c:v>
                </c:pt>
                <c:pt idx="42">
                  <c:v>21.1706805660376</c:v>
                </c:pt>
                <c:pt idx="43">
                  <c:v>20.9710352182625</c:v>
                </c:pt>
                <c:pt idx="44">
                  <c:v>20.7714065528662</c:v>
                </c:pt>
                <c:pt idx="45">
                  <c:v>20.5717953529972</c:v>
                </c:pt>
                <c:pt idx="46">
                  <c:v>20.3722024384168</c:v>
                </c:pt>
                <c:pt idx="47">
                  <c:v>20.1726286671972</c:v>
                </c:pt>
                <c:pt idx="48">
                  <c:v>19.973074937496</c:v>
                </c:pt>
                <c:pt idx="49">
                  <c:v>19.7735421894108</c:v>
                </c:pt>
                <c:pt idx="50">
                  <c:v>19.5740314069191</c:v>
                </c:pt>
                <c:pt idx="51">
                  <c:v>19.3745436199049</c:v>
                </c:pt>
                <c:pt idx="52">
                  <c:v>19.1750799062778</c:v>
                </c:pt>
                <c:pt idx="53">
                  <c:v>18.9756413941872</c:v>
                </c:pt>
                <c:pt idx="54">
                  <c:v>18.7762292643363</c:v>
                </c:pt>
                <c:pt idx="55">
                  <c:v>18.5768447524</c:v>
                </c:pt>
                <c:pt idx="56">
                  <c:v>18.3774891515514</c:v>
                </c:pt>
                <c:pt idx="57">
                  <c:v>18.1781638151006</c:v>
                </c:pt>
                <c:pt idx="58">
                  <c:v>17.9788701592515</c:v>
                </c:pt>
                <c:pt idx="59">
                  <c:v>17.7796096659818</c:v>
                </c:pt>
                <c:pt idx="60">
                  <c:v>17.5803838860489</c:v>
                </c:pt>
                <c:pt idx="61">
                  <c:v>17.381194442131</c:v>
                </c:pt>
                <c:pt idx="62">
                  <c:v>17.182043032104</c:v>
                </c:pt>
                <c:pt idx="63">
                  <c:v>16.9829314324645</c:v>
                </c:pt>
                <c:pt idx="64">
                  <c:v>16.7838615019012</c:v>
                </c:pt>
                <c:pt idx="65">
                  <c:v>16.5848351850221</c:v>
                </c:pt>
                <c:pt idx="66">
                  <c:v>16.3858545162442</c:v>
                </c:pt>
                <c:pt idx="67">
                  <c:v>16.1869216238502</c:v>
                </c:pt>
                <c:pt idx="68">
                  <c:v>15.9880387342209</c:v>
                </c:pt>
                <c:pt idx="69">
                  <c:v>15.7892081762483</c:v>
                </c:pt>
                <c:pt idx="70">
                  <c:v>15.5904323859365</c:v>
                </c:pt>
                <c:pt idx="71">
                  <c:v>15.391713911199</c:v>
                </c:pt>
                <c:pt idx="72">
                  <c:v>15.1930554168565</c:v>
                </c:pt>
                <c:pt idx="73">
                  <c:v>14.9944596898458</c:v>
                </c:pt>
                <c:pt idx="74">
                  <c:v>14.7959296446453</c:v>
                </c:pt>
                <c:pt idx="75">
                  <c:v>14.5974683289249</c:v>
                </c:pt>
                <c:pt idx="76">
                  <c:v>14.3990789294284</c:v>
                </c:pt>
                <c:pt idx="77">
                  <c:v>14.2007647780965</c:v>
                </c:pt>
                <c:pt idx="78">
                  <c:v>14.0025293584376</c:v>
                </c:pt>
                <c:pt idx="79">
                  <c:v>13.8043763121541</c:v>
                </c:pt>
                <c:pt idx="80">
                  <c:v>13.6063094460336</c:v>
                </c:pt>
                <c:pt idx="81">
                  <c:v>13.4083327391122</c:v>
                </c:pt>
                <c:pt idx="82">
                  <c:v>13.2104503501165</c:v>
                </c:pt>
                <c:pt idx="83">
                  <c:v>13.0126666251958</c:v>
                </c:pt>
                <c:pt idx="84">
                  <c:v>12.8149861059477</c:v>
                </c:pt>
                <c:pt idx="85">
                  <c:v>12.6174135377494</c:v>
                </c:pt>
                <c:pt idx="86">
                  <c:v>12.4199538783985</c:v>
                </c:pt>
                <c:pt idx="87">
                  <c:v>12.2226123070732</c:v>
                </c:pt>
                <c:pt idx="88">
                  <c:v>12.0253942336174</c:v>
                </c:pt>
                <c:pt idx="89">
                  <c:v>11.8283053081579</c:v>
                </c:pt>
                <c:pt idx="90">
                  <c:v>11.6313514310601</c:v>
                </c:pt>
                <c:pt idx="91">
                  <c:v>11.4345387632273</c:v>
                </c:pt>
                <c:pt idx="92">
                  <c:v>11.2378737367489</c:v>
                </c:pt>
                <c:pt idx="93">
                  <c:v>11.0413630659027</c:v>
                </c:pt>
                <c:pt idx="94">
                  <c:v>10.8450137585136</c:v>
                </c:pt>
                <c:pt idx="95">
                  <c:v>10.6488331276719</c:v>
                </c:pt>
                <c:pt idx="96">
                  <c:v>10.4528288038135</c:v>
                </c:pt>
                <c:pt idx="97">
                  <c:v>10.2570087471616</c:v>
                </c:pt>
                <c:pt idx="98">
                  <c:v>10.0613812605294</c:v>
                </c:pt>
                <c:pt idx="99">
                  <c:v>9.86595500248088</c:v>
                </c:pt>
                <c:pt idx="100">
                  <c:v>9.6707390008476</c:v>
                </c:pt>
                <c:pt idx="101">
                  <c:v>9.47574266659294</c:v>
                </c:pt>
                <c:pt idx="102">
                  <c:v>9.28097580801797</c:v>
                </c:pt>
                <c:pt idx="103">
                  <c:v>9.08644864529894</c:v>
                </c:pt>
                <c:pt idx="104">
                  <c:v>8.89217182534236</c:v>
                </c:pt>
                <c:pt idx="105">
                  <c:v>8.69815643694406</c:v>
                </c:pt>
                <c:pt idx="106">
                  <c:v>8.5044140262334</c:v>
                </c:pt>
                <c:pt idx="107">
                  <c:v>8.3109566123818</c:v>
                </c:pt>
                <c:pt idx="108">
                  <c:v>8.11779670355017</c:v>
                </c:pt>
                <c:pt idx="109">
                  <c:v>7.92494731304751</c:v>
                </c:pt>
                <c:pt idx="110">
                  <c:v>7.7324219756678</c:v>
                </c:pt>
                <c:pt idx="111">
                  <c:v>7.5402347641679</c:v>
                </c:pt>
                <c:pt idx="112">
                  <c:v>7.34840030584596</c:v>
                </c:pt>
                <c:pt idx="113">
                  <c:v>7.15693379917219</c:v>
                </c:pt>
                <c:pt idx="114">
                  <c:v>6.9658510304217</c:v>
                </c:pt>
                <c:pt idx="115">
                  <c:v>6.77516839025038</c:v>
                </c:pt>
                <c:pt idx="116">
                  <c:v>6.5849028901509</c:v>
                </c:pt>
                <c:pt idx="117">
                  <c:v>6.39507217871868</c:v>
                </c:pt>
                <c:pt idx="118">
                  <c:v>6.20569455765056</c:v>
                </c:pt>
                <c:pt idx="119">
                  <c:v>6.0167889973934</c:v>
                </c:pt>
                <c:pt idx="120">
                  <c:v>5.82837515235005</c:v>
                </c:pt>
                <c:pt idx="121">
                  <c:v>5.64047337554497</c:v>
                </c:pt>
                <c:pt idx="122">
                  <c:v>5.45310473264277</c:v>
                </c:pt>
                <c:pt idx="123">
                  <c:v>5.26629101520383</c:v>
                </c:pt>
                <c:pt idx="124">
                  <c:v>5.08005475305515</c:v>
                </c:pt>
                <c:pt idx="125">
                  <c:v>4.89441922564411</c:v>
                </c:pt>
                <c:pt idx="126">
                  <c:v>4.70940847223514</c:v>
                </c:pt>
                <c:pt idx="127">
                  <c:v>4.52504730080088</c:v>
                </c:pt>
                <c:pt idx="128">
                  <c:v>4.34136129545088</c:v>
                </c:pt>
                <c:pt idx="129">
                  <c:v>4.15837682223214</c:v>
                </c:pt>
                <c:pt idx="130">
                  <c:v>3.9761210331287</c:v>
                </c:pt>
                <c:pt idx="131">
                  <c:v>3.79462186807966</c:v>
                </c:pt>
                <c:pt idx="132">
                  <c:v>3.61390805482683</c:v>
                </c:pt>
                <c:pt idx="133">
                  <c:v>3.43400910639968</c:v>
                </c:pt>
                <c:pt idx="134">
                  <c:v>3.25495531603568</c:v>
                </c:pt>
                <c:pt idx="135">
                  <c:v>3.07677774933411</c:v>
                </c:pt>
                <c:pt idx="136">
                  <c:v>2.8995082334346</c:v>
                </c:pt>
                <c:pt idx="137">
                  <c:v>2.72317934301147</c:v>
                </c:pt>
                <c:pt idx="138">
                  <c:v>2.54782438287445</c:v>
                </c:pt>
                <c:pt idx="139">
                  <c:v>2.37347736696771</c:v>
                </c:pt>
                <c:pt idx="140">
                  <c:v>2.20017299356229</c:v>
                </c:pt>
                <c:pt idx="141">
                  <c:v>2.02794661644331</c:v>
                </c:pt>
                <c:pt idx="142">
                  <c:v>1.85683421190142</c:v>
                </c:pt>
                <c:pt idx="143">
                  <c:v>1.68687234134816</c:v>
                </c:pt>
                <c:pt idx="144">
                  <c:v>1.5180981093899</c:v>
                </c:pt>
                <c:pt idx="145">
                  <c:v>1.35054911720934</c:v>
                </c:pt>
                <c:pt idx="146">
                  <c:v>1.18426341112634</c:v>
                </c:pt>
                <c:pt idx="147">
                  <c:v>1.01927942623048</c:v>
                </c:pt>
                <c:pt idx="148">
                  <c:v>0.855635925005631</c:v>
                </c:pt>
                <c:pt idx="149">
                  <c:v>0.693371930896188</c:v>
                </c:pt>
                <c:pt idx="150">
                  <c:v>0.532526656797544</c:v>
                </c:pt>
                <c:pt idx="151">
                  <c:v>0.373139428491794</c:v>
                </c:pt>
                <c:pt idx="152">
                  <c:v>0.215249603087231</c:v>
                </c:pt>
                <c:pt idx="153">
                  <c:v>0.058896482564467</c:v>
                </c:pt>
                <c:pt idx="154">
                  <c:v>-0.0958807774217799</c:v>
                </c:pt>
                <c:pt idx="155">
                  <c:v>-0.249043263289451</c:v>
                </c:pt>
                <c:pt idx="156">
                  <c:v>-0.400552403577112</c:v>
                </c:pt>
                <c:pt idx="157">
                  <c:v>-0.550370072995138</c:v>
                </c:pt>
                <c:pt idx="158">
                  <c:v>-0.69845870012851</c:v>
                </c:pt>
                <c:pt idx="159">
                  <c:v>-0.844781378387919</c:v>
                </c:pt>
                <c:pt idx="160">
                  <c:v>-0.989301979752261</c:v>
                </c:pt>
                <c:pt idx="161">
                  <c:v>-1.13198527079527</c:v>
                </c:pt>
                <c:pt idx="162">
                  <c:v>-1.27279703043972</c:v>
                </c:pt>
                <c:pt idx="163">
                  <c:v>-1.41170416883658</c:v>
                </c:pt>
                <c:pt idx="164">
                  <c:v>-1.54867484672422</c:v>
                </c:pt>
                <c:pt idx="165">
                  <c:v>-1.68367859458541</c:v>
                </c:pt>
                <c:pt idx="166">
                  <c:v>-1.81668643088897</c:v>
                </c:pt>
                <c:pt idx="167">
                  <c:v>-1.94767097867572</c:v>
                </c:pt>
                <c:pt idx="168">
                  <c:v>-2.07660657973319</c:v>
                </c:pt>
                <c:pt idx="169">
                  <c:v>-2.20346940559133</c:v>
                </c:pt>
                <c:pt idx="170">
                  <c:v>-2.32823756457227</c:v>
                </c:pt>
                <c:pt idx="171">
                  <c:v>-2.45089120413299</c:v>
                </c:pt>
                <c:pt idx="172">
                  <c:v>-2.57141260775942</c:v>
                </c:pt>
                <c:pt idx="173">
                  <c:v>-2.68978628569501</c:v>
                </c:pt>
                <c:pt idx="174">
                  <c:v>-2.80599905882492</c:v>
                </c:pt>
                <c:pt idx="175">
                  <c:v>-2.92004013508187</c:v>
                </c:pt>
                <c:pt idx="176">
                  <c:v>-3.03190117779492</c:v>
                </c:pt>
                <c:pt idx="177">
                  <c:v>-3.14157636546473</c:v>
                </c:pt>
                <c:pt idx="178">
                  <c:v>-3.2490624425205</c:v>
                </c:pt>
                <c:pt idx="179">
                  <c:v>-3.35435876069048</c:v>
                </c:pt>
                <c:pt idx="180">
                  <c:v>-3.4574673107012</c:v>
                </c:pt>
                <c:pt idx="181">
                  <c:v>-3.55839274410778</c:v>
                </c:pt>
                <c:pt idx="182">
                  <c:v>-3.6571423851479</c:v>
                </c:pt>
                <c:pt idx="183">
                  <c:v>-3.75372623260532</c:v>
                </c:pt>
                <c:pt idx="184">
                  <c:v>-3.84815695175918</c:v>
                </c:pt>
                <c:pt idx="185">
                  <c:v>-3.94044985658852</c:v>
                </c:pt>
                <c:pt idx="186">
                  <c:v>-4.03062288248918</c:v>
                </c:pt>
                <c:pt idx="187">
                  <c:v>-4.11869654984465</c:v>
                </c:pt>
                <c:pt idx="188">
                  <c:v>-4.20469391887298</c:v>
                </c:pt>
                <c:pt idx="189">
                  <c:v>-4.2886405362442</c:v>
                </c:pt>
                <c:pt idx="190">
                  <c:v>-4.37056437402864</c:v>
                </c:pt>
                <c:pt idx="191">
                  <c:v>-4.45049576159474</c:v>
                </c:pt>
                <c:pt idx="192">
                  <c:v>-4.52846731112284</c:v>
                </c:pt>
                <c:pt idx="193">
                  <c:v>-4.60451383744171</c:v>
                </c:pt>
                <c:pt idx="194">
                  <c:v>-4.67867227292342</c:v>
                </c:pt>
                <c:pt idx="195">
                  <c:v>-4.75098157819304</c:v>
                </c:pt>
                <c:pt idx="196">
                  <c:v>-4.82148264941885</c:v>
                </c:pt>
                <c:pt idx="197">
                  <c:v>-4.89021822295081</c:v>
                </c:pt>
                <c:pt idx="198">
                  <c:v>-4.95723277806508</c:v>
                </c:pt>
                <c:pt idx="199">
                  <c:v>-5.02257243855705</c:v>
                </c:pt>
                <c:pt idx="200">
                  <c:v>-5.08628487389947</c:v>
                </c:pt>
                <c:pt idx="201">
                  <c:v>-5.1484192006506</c:v>
                </c:pt>
                <c:pt idx="202">
                  <c:v>-5.20902588475933</c:v>
                </c:pt>
                <c:pt idx="203">
                  <c:v>-5.26815664536924</c:v>
                </c:pt>
                <c:pt idx="204">
                  <c:v>-5.32586436067668</c:v>
                </c:pt>
                <c:pt idx="205">
                  <c:v>-5.38220297634392</c:v>
                </c:pt>
                <c:pt idx="206">
                  <c:v>-5.43722741691547</c:v>
                </c:pt>
                <c:pt idx="207">
                  <c:v>-5.49099350062577</c:v>
                </c:pt>
                <c:pt idx="208">
                  <c:v>-5.54355785793173</c:v>
                </c:pt>
                <c:pt idx="209">
                  <c:v>-5.5949778540418</c:v>
                </c:pt>
                <c:pt idx="210">
                  <c:v>-5.64531151565673</c:v>
                </c:pt>
                <c:pt idx="211">
                  <c:v>-5.6946174620797</c:v>
                </c:pt>
                <c:pt idx="212">
                  <c:v>-5.74295484079595</c:v>
                </c:pt>
                <c:pt idx="213">
                  <c:v>-5.79038326757043</c:v>
                </c:pt>
                <c:pt idx="214">
                  <c:v>-5.83696277105757</c:v>
                </c:pt>
                <c:pt idx="215">
                  <c:v>-5.8827537418709</c:v>
                </c:pt>
                <c:pt idx="216">
                  <c:v>-5.92781688601079</c:v>
                </c:pt>
                <c:pt idx="217">
                  <c:v>-5.97221318250928</c:v>
                </c:pt>
                <c:pt idx="218">
                  <c:v>-6.01600384510755</c:v>
                </c:pt>
                <c:pt idx="219">
                  <c:v>-6.05925028774667</c:v>
                </c:pt>
                <c:pt idx="220">
                  <c:v>-6.1020140936199</c:v>
                </c:pt>
                <c:pt idx="221">
                  <c:v>-6.14435698750177</c:v>
                </c:pt>
                <c:pt idx="222">
                  <c:v>-6.1863408110465</c:v>
                </c:pt>
                <c:pt idx="223">
                  <c:v>-6.22802750072109</c:v>
                </c:pt>
                <c:pt idx="224">
                  <c:v>-6.26947906802158</c:v>
                </c:pt>
                <c:pt idx="225">
                  <c:v>-6.31075758160161</c:v>
                </c:pt>
                <c:pt idx="226">
                  <c:v>-6.35192515092898</c:v>
                </c:pt>
                <c:pt idx="227">
                  <c:v>-6.39304391107629</c:v>
                </c:pt>
                <c:pt idx="228">
                  <c:v>-6.43417600824172</c:v>
                </c:pt>
                <c:pt idx="229">
                  <c:v>-6.47538358559154</c:v>
                </c:pt>
                <c:pt idx="230">
                  <c:v>-6.5167287690158</c:v>
                </c:pt>
                <c:pt idx="231">
                  <c:v>-6.5582736523844</c:v>
                </c:pt>
                <c:pt idx="232">
                  <c:v>-6.60008028190099</c:v>
                </c:pt>
                <c:pt idx="233">
                  <c:v>-6.64221063915053</c:v>
                </c:pt>
                <c:pt idx="234">
                  <c:v>-6.68472662245415</c:v>
                </c:pt>
                <c:pt idx="235">
                  <c:v>-6.72769002614933</c:v>
                </c:pt>
                <c:pt idx="236">
                  <c:v>-6.77116251743462</c:v>
                </c:pt>
                <c:pt idx="237">
                  <c:v>-6.81520561043305</c:v>
                </c:pt>
                <c:pt idx="238">
                  <c:v>-6.85988063715112</c:v>
                </c:pt>
                <c:pt idx="239">
                  <c:v>-6.90524871503529</c:v>
                </c:pt>
                <c:pt idx="240">
                  <c:v>-6.95137071085574</c:v>
                </c:pt>
                <c:pt idx="241">
                  <c:v>-6.99830720067694</c:v>
                </c:pt>
                <c:pt idx="242">
                  <c:v>-7.04611842571354</c:v>
                </c:pt>
                <c:pt idx="243">
                  <c:v>-7.09486424390197</c:v>
                </c:pt>
                <c:pt idx="244">
                  <c:v>-7.14460407706591</c:v>
                </c:pt>
                <c:pt idx="245">
                  <c:v>-7.19539685359291</c:v>
                </c:pt>
                <c:pt idx="246">
                  <c:v>-7.24730094659062</c:v>
                </c:pt>
                <c:pt idx="247">
                  <c:v>-7.30037410753933</c:v>
                </c:pt>
                <c:pt idx="248">
                  <c:v>-7.35467339551068</c:v>
                </c:pt>
                <c:pt idx="249">
                  <c:v>-7.41025510207859</c:v>
                </c:pt>
                <c:pt idx="250">
                  <c:v>-7.46717467210309</c:v>
                </c:pt>
                <c:pt idx="251">
                  <c:v>-7.52548662062722</c:v>
                </c:pt>
                <c:pt idx="252">
                  <c:v>-7.5852444461853</c:v>
                </c:pt>
                <c:pt idx="253">
                  <c:v>-7.64650054087891</c:v>
                </c:pt>
                <c:pt idx="254">
                  <c:v>-7.70930609763551</c:v>
                </c:pt>
                <c:pt idx="255">
                  <c:v>-7.77371101512016</c:v>
                </c:pt>
                <c:pt idx="256">
                  <c:v>-7.83976380082568</c:v>
                </c:pt>
                <c:pt idx="257">
                  <c:v>-7.90751147291602</c:v>
                </c:pt>
                <c:pt idx="258">
                  <c:v>-7.97699946144568</c:v>
                </c:pt>
                <c:pt idx="259">
                  <c:v>-8.0482715096185</c:v>
                </c:pt>
                <c:pt idx="260">
                  <c:v>-8.12136957578545</c:v>
                </c:pt>
                <c:pt idx="261">
                  <c:v>-8.19633373691016</c:v>
                </c:pt>
                <c:pt idx="262">
                  <c:v>-8.27320209425176</c:v>
                </c:pt>
                <c:pt idx="263">
                  <c:v>-8.3520106820287</c:v>
                </c:pt>
                <c:pt idx="264">
                  <c:v>-8.4327933798312</c:v>
                </c:pt>
                <c:pt idx="265">
                  <c:v>-8.51558182954561</c:v>
                </c:pt>
                <c:pt idx="266">
                  <c:v>-8.60040535753888</c:v>
                </c:pt>
                <c:pt idx="267">
                  <c:v>-8.68729090282798</c:v>
                </c:pt>
                <c:pt idx="268">
                  <c:v>-8.77626295192483</c:v>
                </c:pt>
                <c:pt idx="269">
                  <c:v>-8.86734348100366</c:v>
                </c:pt>
                <c:pt idx="270">
                  <c:v>-8.96055190598557</c:v>
                </c:pt>
                <c:pt idx="271">
                  <c:v>-9.05590504107332</c:v>
                </c:pt>
                <c:pt idx="272">
                  <c:v>-9.15341706620075</c:v>
                </c:pt>
                <c:pt idx="273">
                  <c:v>-9.25309950378455</c:v>
                </c:pt>
                <c:pt idx="274">
                  <c:v>-9.35496120508498</c:v>
                </c:pt>
                <c:pt idx="275">
                  <c:v>-9.45900834639522</c:v>
                </c:pt>
                <c:pt idx="276">
                  <c:v>-9.56524443518838</c:v>
                </c:pt>
                <c:pt idx="277">
                  <c:v>-9.67367032626101</c:v>
                </c:pt>
                <c:pt idx="278">
                  <c:v>-9.78428424781738</c:v>
                </c:pt>
                <c:pt idx="279">
                  <c:v>-9.89708183734942</c:v>
                </c:pt>
                <c:pt idx="280">
                  <c:v>-10.0120561870755</c:v>
                </c:pt>
                <c:pt idx="281">
                  <c:v>-10.1291978986177</c:v>
                </c:pt>
                <c:pt idx="282">
                  <c:v>-10.2484951465162</c:v>
                </c:pt>
                <c:pt idx="283">
                  <c:v>-10.3699337501032</c:v>
                </c:pt>
                <c:pt idx="284">
                  <c:v>-10.493497253192</c:v>
                </c:pt>
                <c:pt idx="285">
                  <c:v>-10.6191670109806</c:v>
                </c:pt>
                <c:pt idx="286">
                  <c:v>-10.7469222835114</c:v>
                </c:pt>
                <c:pt idx="287">
                  <c:v>-10.8767403349933</c:v>
                </c:pt>
                <c:pt idx="288">
                  <c:v>-11.0085965382572</c:v>
                </c:pt>
                <c:pt idx="289">
                  <c:v>-11.1424644835931</c:v>
                </c:pt>
                <c:pt idx="290">
                  <c:v>-11.2783160912042</c:v>
                </c:pt>
                <c:pt idx="291">
                  <c:v>-11.4161217265105</c:v>
                </c:pt>
                <c:pt idx="292">
                  <c:v>-11.5558503175367</c:v>
                </c:pt>
                <c:pt idx="293">
                  <c:v>-11.6974694736366</c:v>
                </c:pt>
                <c:pt idx="294">
                  <c:v>-11.8409456048219</c:v>
                </c:pt>
                <c:pt idx="295">
                  <c:v>-11.9862440409975</c:v>
                </c:pt>
                <c:pt idx="296">
                  <c:v>-12.133329150434</c:v>
                </c:pt>
                <c:pt idx="297">
                  <c:v>-12.2821644568519</c:v>
                </c:pt>
                <c:pt idx="298">
                  <c:v>-12.4327127545331</c:v>
                </c:pt>
                <c:pt idx="299">
                  <c:v>-12.5849362209244</c:v>
                </c:pt>
                <c:pt idx="300">
                  <c:v>-12.7387965262477</c:v>
                </c:pt>
                <c:pt idx="301">
                  <c:v>-12.8942549396814</c:v>
                </c:pt>
                <c:pt idx="302">
                  <c:v>-13.0512724317336</c:v>
                </c:pt>
                <c:pt idx="303">
                  <c:v>-13.2098097724776</c:v>
                </c:pt>
                <c:pt idx="304">
                  <c:v>-13.369827625373</c:v>
                </c:pt>
                <c:pt idx="305">
                  <c:v>-13.5312866364496</c:v>
                </c:pt>
                <c:pt idx="306">
                  <c:v>-13.6941475186762</c:v>
                </c:pt>
                <c:pt idx="307">
                  <c:v>-13.8583711313863</c:v>
                </c:pt>
                <c:pt idx="308">
                  <c:v>-14.0239185546785</c:v>
                </c:pt>
                <c:pt idx="309">
                  <c:v>-14.1907511587468</c:v>
                </c:pt>
                <c:pt idx="310">
                  <c:v>-14.3588306681402</c:v>
                </c:pt>
                <c:pt idx="311">
                  <c:v>-14.5281192209796</c:v>
                </c:pt>
                <c:pt idx="312">
                  <c:v>-14.6985794231997</c:v>
                </c:pt>
                <c:pt idx="313">
                  <c:v>-14.8701743979035</c:v>
                </c:pt>
                <c:pt idx="314">
                  <c:v>-15.0428678299503</c:v>
                </c:pt>
                <c:pt idx="315">
                  <c:v>-15.2166240059134</c:v>
                </c:pt>
                <c:pt idx="316">
                  <c:v>-15.3914078495644</c:v>
                </c:pt>
                <c:pt idx="317">
                  <c:v>-15.5671849530592</c:v>
                </c:pt>
                <c:pt idx="318">
                  <c:v>-15.743921604007</c:v>
                </c:pt>
                <c:pt idx="319">
                  <c:v>-15.9215848086197</c:v>
                </c:pt>
                <c:pt idx="320">
                  <c:v>-16.1001423111416</c:v>
                </c:pt>
                <c:pt idx="321">
                  <c:v>-16.2795626097666</c:v>
                </c:pt>
                <c:pt idx="322">
                  <c:v>-16.4598149692513</c:v>
                </c:pt>
                <c:pt idx="323">
                  <c:v>-16.6408694304342</c:v>
                </c:pt>
                <c:pt idx="324">
                  <c:v>-16.8226968168687</c:v>
                </c:pt>
                <c:pt idx="325">
                  <c:v>-17.0052687387777</c:v>
                </c:pt>
                <c:pt idx="326">
                  <c:v>-17.1885575945305</c:v>
                </c:pt>
                <c:pt idx="327">
                  <c:v>-17.3725365698396</c:v>
                </c:pt>
                <c:pt idx="328">
                  <c:v>-17.5571796348703</c:v>
                </c:pt>
                <c:pt idx="329">
                  <c:v>-17.7424615394458</c:v>
                </c:pt>
                <c:pt idx="330">
                  <c:v>-17.9283578065274</c:v>
                </c:pt>
                <c:pt idx="331">
                  <c:v>-18.1148447241384</c:v>
                </c:pt>
                <c:pt idx="332">
                  <c:v>-18.3018993358935</c:v>
                </c:pt>
                <c:pt idx="333">
                  <c:v>-18.489499430288</c:v>
                </c:pt>
                <c:pt idx="334">
                  <c:v>-18.6776235288913</c:v>
                </c:pt>
                <c:pt idx="335">
                  <c:v>-18.8662508735798</c:v>
                </c:pt>
                <c:pt idx="336">
                  <c:v>-19.0553614129398</c:v>
                </c:pt>
                <c:pt idx="337">
                  <c:v>-19.2449357879574</c:v>
                </c:pt>
                <c:pt idx="338">
                  <c:v>-19.4349553171087</c:v>
                </c:pt>
                <c:pt idx="339">
                  <c:v>-19.6254019809519</c:v>
                </c:pt>
                <c:pt idx="340">
                  <c:v>-19.8162584063176</c:v>
                </c:pt>
                <c:pt idx="341">
                  <c:v>-20.0075078501859</c:v>
                </c:pt>
                <c:pt idx="342">
                  <c:v>-20.1991341833298</c:v>
                </c:pt>
                <c:pt idx="343">
                  <c:v>-20.3911218737993</c:v>
                </c:pt>
                <c:pt idx="344">
                  <c:v>-20.5834559703137</c:v>
                </c:pt>
                <c:pt idx="345">
                  <c:v>-20.7761220856232</c:v>
                </c:pt>
                <c:pt idx="346">
                  <c:v>-20.9691063798942</c:v>
                </c:pt>
                <c:pt idx="347">
                  <c:v>-21.1623955441691</c:v>
                </c:pt>
                <c:pt idx="348">
                  <c:v>-21.3559767839432</c:v>
                </c:pt>
                <c:pt idx="349">
                  <c:v>-21.5498378029012</c:v>
                </c:pt>
                <c:pt idx="350">
                  <c:v>-21.7439667868448</c:v>
                </c:pt>
                <c:pt idx="351">
                  <c:v>-21.9383523878446</c:v>
                </c:pt>
                <c:pt idx="352">
                  <c:v>-22.1329837086425</c:v>
                </c:pt>
                <c:pt idx="353">
                  <c:v>-22.3278502873271</c:v>
                </c:pt>
                <c:pt idx="354">
                  <c:v>-22.5229420823034</c:v>
                </c:pt>
                <c:pt idx="355">
                  <c:v>-22.718249457572</c:v>
                </c:pt>
                <c:pt idx="356">
                  <c:v>-22.9137631683328</c:v>
                </c:pt>
                <c:pt idx="357">
                  <c:v>-23.1094743469247</c:v>
                </c:pt>
                <c:pt idx="358">
                  <c:v>-23.3053744891094</c:v>
                </c:pt>
                <c:pt idx="359">
                  <c:v>-23.5014554407071</c:v>
                </c:pt>
                <c:pt idx="360">
                  <c:v>-23.697709384589</c:v>
                </c:pt>
                <c:pt idx="361">
                  <c:v>-23.8941288280288</c:v>
                </c:pt>
                <c:pt idx="362">
                  <c:v>-24.090706590417</c:v>
                </c:pt>
                <c:pt idx="363">
                  <c:v>-24.2874357913357</c:v>
                </c:pt>
                <c:pt idx="364">
                  <c:v>-24.4843098389946</c:v>
                </c:pt>
                <c:pt idx="365">
                  <c:v>-24.6813224190263</c:v>
                </c:pt>
                <c:pt idx="366">
                  <c:v>-24.8784674836362</c:v>
                </c:pt>
                <c:pt idx="367">
                  <c:v>-25.0757392411044</c:v>
                </c:pt>
                <c:pt idx="368">
                  <c:v>-25.2731321456349</c:v>
                </c:pt>
                <c:pt idx="369">
                  <c:v>-25.4706408875455</c:v>
                </c:pt>
                <c:pt idx="370">
                  <c:v>-25.6682603837945</c:v>
                </c:pt>
                <c:pt idx="371">
                  <c:v>-25.8659857688353</c:v>
                </c:pt>
                <c:pt idx="372">
                  <c:v>-26.0638123857946</c:v>
                </c:pt>
                <c:pt idx="373">
                  <c:v>-26.2617357779651</c:v>
                </c:pt>
                <c:pt idx="374">
                  <c:v>-26.4597516806065</c:v>
                </c:pt>
                <c:pt idx="375">
                  <c:v>-26.6578560130465</c:v>
                </c:pt>
                <c:pt idx="376">
                  <c:v>-26.8560448710746</c:v>
                </c:pt>
                <c:pt idx="377">
                  <c:v>-27.0543145196201</c:v>
                </c:pt>
                <c:pt idx="378">
                  <c:v>-27.2526613857071</c:v>
                </c:pt>
                <c:pt idx="379">
                  <c:v>-27.4510820516779</c:v>
                </c:pt>
                <c:pt idx="380">
                  <c:v>-27.6495732486771</c:v>
                </c:pt>
                <c:pt idx="381">
                  <c:v>-27.8481318503879</c:v>
                </c:pt>
                <c:pt idx="382">
                  <c:v>-28.0467548670142</c:v>
                </c:pt>
                <c:pt idx="383">
                  <c:v>-28.2454394394981</c:v>
                </c:pt>
                <c:pt idx="384">
                  <c:v>-28.4441828339675</c:v>
                </c:pt>
                <c:pt idx="385">
                  <c:v>-28.6429824364047</c:v>
                </c:pt>
                <c:pt idx="386">
                  <c:v>-28.8418357475292</c:v>
                </c:pt>
                <c:pt idx="387">
                  <c:v>-29.0407403778857</c:v>
                </c:pt>
                <c:pt idx="388">
                  <c:v>-29.2396940431336</c:v>
                </c:pt>
                <c:pt idx="389">
                  <c:v>-29.438694559526</c:v>
                </c:pt>
                <c:pt idx="390">
                  <c:v>-29.6377398395762</c:v>
                </c:pt>
                <c:pt idx="391">
                  <c:v>-29.836827887901</c:v>
                </c:pt>
                <c:pt idx="392">
                  <c:v>-30.0359567972363</c:v>
                </c:pt>
                <c:pt idx="393">
                  <c:v>-30.2351247446182</c:v>
                </c:pt>
                <c:pt idx="394">
                  <c:v>-30.4343299877232</c:v>
                </c:pt>
                <c:pt idx="395">
                  <c:v>-30.6335708613616</c:v>
                </c:pt>
                <c:pt idx="396">
                  <c:v>-30.8328457741173</c:v>
                </c:pt>
                <c:pt idx="397">
                  <c:v>-31.0321532051306</c:v>
                </c:pt>
                <c:pt idx="398">
                  <c:v>-31.231491701015</c:v>
                </c:pt>
                <c:pt idx="399">
                  <c:v>-31.4308598729064</c:v>
                </c:pt>
                <c:pt idx="400">
                  <c:v>-31.6302563936367</c:v>
                </c:pt>
                <c:pt idx="401">
                  <c:v>-31.8296799950283</c:v>
                </c:pt>
                <c:pt idx="402">
                  <c:v>-32.0291294653032</c:v>
                </c:pt>
                <c:pt idx="403">
                  <c:v>-32.2286036466048</c:v>
                </c:pt>
                <c:pt idx="404">
                  <c:v>-32.4281014326244</c:v>
                </c:pt>
                <c:pt idx="405">
                  <c:v>-32.6276217663312</c:v>
                </c:pt>
                <c:pt idx="406">
                  <c:v>-32.8271636377984</c:v>
                </c:pt>
                <c:pt idx="407">
                  <c:v>-33.0267260821252</c:v>
                </c:pt>
                <c:pt idx="408">
                  <c:v>-33.2263081774477</c:v>
                </c:pt>
                <c:pt idx="409">
                  <c:v>-33.4259090430356</c:v>
                </c:pt>
                <c:pt idx="410">
                  <c:v>-33.6255278374727</c:v>
                </c:pt>
                <c:pt idx="411">
                  <c:v>-33.8251637569156</c:v>
                </c:pt>
                <c:pt idx="412">
                  <c:v>-34.0248160334291</c:v>
                </c:pt>
                <c:pt idx="413">
                  <c:v>-34.2244839333933</c:v>
                </c:pt>
                <c:pt idx="414">
                  <c:v>-34.4241667559815</c:v>
                </c:pt>
                <c:pt idx="415">
                  <c:v>-34.6238638317031</c:v>
                </c:pt>
                <c:pt idx="416">
                  <c:v>-34.8235745210121</c:v>
                </c:pt>
                <c:pt idx="417">
                  <c:v>-35.0232982129755</c:v>
                </c:pt>
                <c:pt idx="418">
                  <c:v>-35.2230343240007</c:v>
                </c:pt>
                <c:pt idx="419">
                  <c:v>-35.4227822966183</c:v>
                </c:pt>
                <c:pt idx="420">
                  <c:v>-35.6225415983194</c:v>
                </c:pt>
                <c:pt idx="421">
                  <c:v>-35.822311720443</c:v>
                </c:pt>
                <c:pt idx="422">
                  <c:v>-36.0220921771137</c:v>
                </c:pt>
                <c:pt idx="423">
                  <c:v>-36.2218825042253</c:v>
                </c:pt>
                <c:pt idx="424">
                  <c:v>-36.4216822584695</c:v>
                </c:pt>
                <c:pt idx="425">
                  <c:v>-36.6214910164087</c:v>
                </c:pt>
                <c:pt idx="426">
                  <c:v>-36.8213083735873</c:v>
                </c:pt>
                <c:pt idx="427">
                  <c:v>-37.0211339436856</c:v>
                </c:pt>
                <c:pt idx="428">
                  <c:v>-37.2209673577085</c:v>
                </c:pt>
                <c:pt idx="429">
                  <c:v>-37.4208082632113</c:v>
                </c:pt>
                <c:pt idx="430">
                  <c:v>-37.6206563235606</c:v>
                </c:pt>
                <c:pt idx="431">
                  <c:v>-37.8205112172261</c:v>
                </c:pt>
                <c:pt idx="432">
                  <c:v>-38.020372637106</c:v>
                </c:pt>
                <c:pt idx="433">
                  <c:v>-38.2202402898807</c:v>
                </c:pt>
                <c:pt idx="434">
                  <c:v>-38.4201138953967</c:v>
                </c:pt>
                <c:pt idx="435">
                  <c:v>-38.6199931860761</c:v>
                </c:pt>
                <c:pt idx="436">
                  <c:v>-38.8198779063544</c:v>
                </c:pt>
                <c:pt idx="437">
                  <c:v>-39.0197678121423</c:v>
                </c:pt>
                <c:pt idx="438">
                  <c:v>-39.2196626703113</c:v>
                </c:pt>
                <c:pt idx="439">
                  <c:v>-39.4195622582027</c:v>
                </c:pt>
                <c:pt idx="440">
                  <c:v>-39.6194663631586</c:v>
                </c:pt>
                <c:pt idx="441">
                  <c:v>-39.8193747820731</c:v>
                </c:pt>
                <c:pt idx="442">
                  <c:v>-40.0192873209646</c:v>
                </c:pt>
                <c:pt idx="443">
                  <c:v>-40.2192037945665</c:v>
                </c:pt>
                <c:pt idx="444">
                  <c:v>-40.4191240259359</c:v>
                </c:pt>
                <c:pt idx="445">
                  <c:v>-40.6190478460811</c:v>
                </c:pt>
                <c:pt idx="446">
                  <c:v>-40.8189750936038</c:v>
                </c:pt>
                <c:pt idx="447">
                  <c:v>-41.0189056143595</c:v>
                </c:pt>
                <c:pt idx="448">
                  <c:v>-41.218839261131</c:v>
                </c:pt>
                <c:pt idx="449">
                  <c:v>-41.4187758933182</c:v>
                </c:pt>
                <c:pt idx="450">
                  <c:v>-41.6187153766407</c:v>
                </c:pt>
                <c:pt idx="451">
                  <c:v>-41.8186575828542</c:v>
                </c:pt>
                <c:pt idx="452">
                  <c:v>-42.0186023894795</c:v>
                </c:pt>
                <c:pt idx="453">
                  <c:v>-42.2185496795436</c:v>
                </c:pt>
                <c:pt idx="454">
                  <c:v>-42.4184993413326</c:v>
                </c:pt>
                <c:pt idx="455">
                  <c:v>-42.6184512681551</c:v>
                </c:pt>
                <c:pt idx="456">
                  <c:v>-42.818405358117</c:v>
                </c:pt>
                <c:pt idx="457">
                  <c:v>-43.0183615139059</c:v>
                </c:pt>
                <c:pt idx="458">
                  <c:v>-43.2183196425852</c:v>
                </c:pt>
                <c:pt idx="459">
                  <c:v>-43.4182796553975</c:v>
                </c:pt>
                <c:pt idx="460">
                  <c:v>-43.6182414675769</c:v>
                </c:pt>
                <c:pt idx="461">
                  <c:v>-43.8182049981695</c:v>
                </c:pt>
                <c:pt idx="462">
                  <c:v>-44.0181701698623</c:v>
                </c:pt>
                <c:pt idx="463">
                  <c:v>-44.2181369088195</c:v>
                </c:pt>
                <c:pt idx="464">
                  <c:v>-44.4181051445261</c:v>
                </c:pt>
                <c:pt idx="465">
                  <c:v>-44.6180748096388</c:v>
                </c:pt>
                <c:pt idx="466">
                  <c:v>-44.8180458398432</c:v>
                </c:pt>
                <c:pt idx="467">
                  <c:v>-45.018018173718</c:v>
                </c:pt>
                <c:pt idx="468">
                  <c:v>-45.2179917526046</c:v>
                </c:pt>
                <c:pt idx="469">
                  <c:v>-45.4179665204833</c:v>
                </c:pt>
                <c:pt idx="470">
                  <c:v>-45.6179424238539</c:v>
                </c:pt>
                <c:pt idx="471">
                  <c:v>-45.8179194116234</c:v>
                </c:pt>
                <c:pt idx="472">
                  <c:v>-46.0178974349971</c:v>
                </c:pt>
                <c:pt idx="473">
                  <c:v>-46.2178764473753</c:v>
                </c:pt>
                <c:pt idx="474">
                  <c:v>-46.4178564042548</c:v>
                </c:pt>
                <c:pt idx="475">
                  <c:v>-46.6178372631347</c:v>
                </c:pt>
                <c:pt idx="476">
                  <c:v>-46.8178189834261</c:v>
                </c:pt>
                <c:pt idx="477">
                  <c:v>-47.0178015263663</c:v>
                </c:pt>
                <c:pt idx="478">
                  <c:v>-47.2177848549362</c:v>
                </c:pt>
                <c:pt idx="479">
                  <c:v>-47.4177689337827</c:v>
                </c:pt>
                <c:pt idx="480">
                  <c:v>-47.6177537291434</c:v>
                </c:pt>
                <c:pt idx="481">
                  <c:v>-47.8177392087745</c:v>
                </c:pt>
                <c:pt idx="482">
                  <c:v>-48.0177253418832</c:v>
                </c:pt>
                <c:pt idx="483">
                  <c:v>-48.2177120990625</c:v>
                </c:pt>
                <c:pt idx="484">
                  <c:v>-48.4176994522282</c:v>
                </c:pt>
                <c:pt idx="485">
                  <c:v>-48.6176873745598</c:v>
                </c:pt>
                <c:pt idx="486">
                  <c:v>-48.817675840444</c:v>
                </c:pt>
                <c:pt idx="487">
                  <c:v>-49.0176648254196</c:v>
                </c:pt>
                <c:pt idx="488">
                  <c:v>-49.217654306126</c:v>
                </c:pt>
                <c:pt idx="489">
                  <c:v>-49.4176442602544</c:v>
                </c:pt>
                <c:pt idx="490">
                  <c:v>-49.6176346664991</c:v>
                </c:pt>
                <c:pt idx="491">
                  <c:v>-49.8176255045135</c:v>
                </c:pt>
                <c:pt idx="492">
                  <c:v>-50.0176167548668</c:v>
                </c:pt>
                <c:pt idx="493">
                  <c:v>-50.2176083990022</c:v>
                </c:pt>
                <c:pt idx="494">
                  <c:v>-50.417600419198</c:v>
                </c:pt>
                <c:pt idx="495">
                  <c:v>-50.6175927985301</c:v>
                </c:pt>
                <c:pt idx="496">
                  <c:v>-50.8175855208359</c:v>
                </c:pt>
                <c:pt idx="497">
                  <c:v>-51.0175785706803</c:v>
                </c:pt>
                <c:pt idx="498">
                  <c:v>-51.2175719333226</c:v>
                </c:pt>
                <c:pt idx="499">
                  <c:v>-51.4175655946854</c:v>
                </c:pt>
                <c:pt idx="500">
                  <c:v>-51.617559541325</c:v>
                </c:pt>
                <c:pt idx="501">
                  <c:v>-51.8175537604026</c:v>
                </c:pt>
                <c:pt idx="502">
                  <c:v>-52.0175482396572</c:v>
                </c:pt>
                <c:pt idx="503">
                  <c:v>-52.2175429673796</c:v>
                </c:pt>
                <c:pt idx="504">
                  <c:v>-52.4175379323874</c:v>
                </c:pt>
                <c:pt idx="505">
                  <c:v>-52.6175331240016</c:v>
                </c:pt>
                <c:pt idx="506">
                  <c:v>-52.8175285320237</c:v>
                </c:pt>
                <c:pt idx="507">
                  <c:v>-53.0175241467143</c:v>
                </c:pt>
                <c:pt idx="508">
                  <c:v>-53.2175199587719</c:v>
                </c:pt>
                <c:pt idx="509">
                  <c:v>-53.4175159593142</c:v>
                </c:pt>
                <c:pt idx="510">
                  <c:v>-53.6175121398582</c:v>
                </c:pt>
                <c:pt idx="511">
                  <c:v>-53.8175084923028</c:v>
                </c:pt>
                <c:pt idx="512">
                  <c:v>-54.0175050089116</c:v>
                </c:pt>
                <c:pt idx="513">
                  <c:v>-54.217501682296</c:v>
                </c:pt>
                <c:pt idx="514">
                  <c:v>-54.4174985054004</c:v>
                </c:pt>
                <c:pt idx="515">
                  <c:v>-54.6174954714864</c:v>
                </c:pt>
                <c:pt idx="516">
                  <c:v>-54.817492574119</c:v>
                </c:pt>
                <c:pt idx="517">
                  <c:v>-55.0174898071528</c:v>
                </c:pt>
                <c:pt idx="518">
                  <c:v>-55.2174871647189</c:v>
                </c:pt>
                <c:pt idx="519">
                  <c:v>-55.4174846412126</c:v>
                </c:pt>
                <c:pt idx="520">
                  <c:v>-55.6174822312814</c:v>
                </c:pt>
                <c:pt idx="521">
                  <c:v>-55.8174799298136</c:v>
                </c:pt>
                <c:pt idx="522">
                  <c:v>-56.0174777319277</c:v>
                </c:pt>
                <c:pt idx="523">
                  <c:v>-56.217475632962</c:v>
                </c:pt>
                <c:pt idx="524">
                  <c:v>-56.4174736284643</c:v>
                </c:pt>
                <c:pt idx="525">
                  <c:v>-56.617471714183</c:v>
                </c:pt>
                <c:pt idx="526">
                  <c:v>-56.8174698860578</c:v>
                </c:pt>
                <c:pt idx="527">
                  <c:v>-57.0174681402109</c:v>
                </c:pt>
                <c:pt idx="528">
                  <c:v>-57.2174664729395</c:v>
                </c:pt>
                <c:pt idx="529">
                  <c:v>-57.417464880707</c:v>
                </c:pt>
                <c:pt idx="530">
                  <c:v>-57.6174633601362</c:v>
                </c:pt>
                <c:pt idx="531">
                  <c:v>-57.8174619080019</c:v>
                </c:pt>
                <c:pt idx="532">
                  <c:v>-58.017460521224</c:v>
                </c:pt>
                <c:pt idx="533">
                  <c:v>-58.2174591968609</c:v>
                </c:pt>
                <c:pt idx="534">
                  <c:v>-58.4174579321035</c:v>
                </c:pt>
                <c:pt idx="535">
                  <c:v>-58.6174567242693</c:v>
                </c:pt>
                <c:pt idx="536">
                  <c:v>-58.8174555707962</c:v>
                </c:pt>
                <c:pt idx="537">
                  <c:v>-59.0174544692377</c:v>
                </c:pt>
                <c:pt idx="538">
                  <c:v>-59.2174534172572</c:v>
                </c:pt>
                <c:pt idx="539">
                  <c:v>-59.4174524126234</c:v>
                </c:pt>
                <c:pt idx="540">
                  <c:v>-59.6174514532054</c:v>
                </c:pt>
                <c:pt idx="541">
                  <c:v>-59.817450536968</c:v>
                </c:pt>
              </c:numCache>
            </c:numRef>
          </c:yVal>
          <c:smooth val="1"/>
        </c:ser>
        <c:dLbls>
          <c:showLegendKey val="0"/>
          <c:showVal val="0"/>
          <c:showCatName val="0"/>
          <c:showSerName val="0"/>
          <c:showPercent val="0"/>
          <c:showBubbleSize val="0"/>
        </c:dLbls>
        <c:axId val="175558656"/>
        <c:axId val="175560576"/>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Loop_Modeling!$BE$19:$BE$560</c:f>
              <c:numCache>
                <c:formatCode>General</c:formatCode>
                <c:ptCount val="542"/>
                <c:pt idx="0">
                  <c:v>90.8088581001893</c:v>
                </c:pt>
                <c:pt idx="1">
                  <c:v>90.8276950984033</c:v>
                </c:pt>
                <c:pt idx="2">
                  <c:v>90.8469706001584</c:v>
                </c:pt>
                <c:pt idx="3">
                  <c:v>90.8666948004606</c:v>
                </c:pt>
                <c:pt idx="4">
                  <c:v>90.8868781304261</c:v>
                </c:pt>
                <c:pt idx="5">
                  <c:v>90.9075312626841</c:v>
                </c:pt>
                <c:pt idx="6">
                  <c:v>90.9286651168978</c:v>
                </c:pt>
                <c:pt idx="7">
                  <c:v>90.9502908654071</c:v>
                </c:pt>
                <c:pt idx="8">
                  <c:v>90.9724199389944</c:v>
                </c:pt>
                <c:pt idx="9">
                  <c:v>90.9950640327763</c:v>
                </c:pt>
                <c:pt idx="10">
                  <c:v>91.0182351122236</c:v>
                </c:pt>
                <c:pt idx="11">
                  <c:v>91.0419454193112</c:v>
                </c:pt>
                <c:pt idx="12">
                  <c:v>91.0662074788016</c:v>
                </c:pt>
                <c:pt idx="13">
                  <c:v>91.0910341046623</c:v>
                </c:pt>
                <c:pt idx="14">
                  <c:v>91.1164384066219</c:v>
                </c:pt>
                <c:pt idx="15">
                  <c:v>91.1424337968654</c:v>
                </c:pt>
                <c:pt idx="16">
                  <c:v>91.1690339968713</c:v>
                </c:pt>
                <c:pt idx="17">
                  <c:v>91.1962530443938</c:v>
                </c:pt>
                <c:pt idx="18">
                  <c:v>91.2241053005915</c:v>
                </c:pt>
                <c:pt idx="19">
                  <c:v>91.2526054573052</c:v>
                </c:pt>
                <c:pt idx="20">
                  <c:v>91.2817685444867</c:v>
                </c:pt>
                <c:pt idx="21">
                  <c:v>91.311609937782</c:v>
                </c:pt>
                <c:pt idx="22">
                  <c:v>91.3421453662692</c:v>
                </c:pt>
                <c:pt idx="23">
                  <c:v>91.3733909203551</c:v>
                </c:pt>
                <c:pt idx="24">
                  <c:v>91.4053630598312</c:v>
                </c:pt>
                <c:pt idx="25">
                  <c:v>91.4380786220925</c:v>
                </c:pt>
                <c:pt idx="26">
                  <c:v>91.4715548305194</c:v>
                </c:pt>
                <c:pt idx="27">
                  <c:v>91.5058093030257</c:v>
                </c:pt>
                <c:pt idx="28">
                  <c:v>91.5408600607748</c:v>
                </c:pt>
                <c:pt idx="29">
                  <c:v>91.5767255370645</c:v>
                </c:pt>
                <c:pt idx="30">
                  <c:v>91.6134245863825</c:v>
                </c:pt>
                <c:pt idx="31">
                  <c:v>91.6509764936353</c:v>
                </c:pt>
                <c:pt idx="32">
                  <c:v>91.6894009835491</c:v>
                </c:pt>
                <c:pt idx="33">
                  <c:v>91.7287182302466</c:v>
                </c:pt>
                <c:pt idx="34">
                  <c:v>91.7689488669989</c:v>
                </c:pt>
                <c:pt idx="35">
                  <c:v>91.8101139961533</c:v>
                </c:pt>
                <c:pt idx="36">
                  <c:v>91.8522351992388</c:v>
                </c:pt>
                <c:pt idx="37">
                  <c:v>91.895334547248</c:v>
                </c:pt>
                <c:pt idx="38">
                  <c:v>91.9394346110967</c:v>
                </c:pt>
                <c:pt idx="39">
                  <c:v>91.9845584722596</c:v>
                </c:pt>
                <c:pt idx="40">
                  <c:v>92.0307297335827</c:v>
                </c:pt>
                <c:pt idx="41">
                  <c:v>92.0779725302717</c:v>
                </c:pt>
                <c:pt idx="42">
                  <c:v>92.1263115410529</c:v>
                </c:pt>
                <c:pt idx="43">
                  <c:v>92.1757719995077</c:v>
                </c:pt>
                <c:pt idx="44">
                  <c:v>92.226379705577</c:v>
                </c:pt>
                <c:pt idx="45">
                  <c:v>92.2781610372324</c:v>
                </c:pt>
                <c:pt idx="46">
                  <c:v>92.3311429623134</c:v>
                </c:pt>
                <c:pt idx="47">
                  <c:v>92.3853530505236</c:v>
                </c:pt>
                <c:pt idx="48">
                  <c:v>92.4408194855842</c:v>
                </c:pt>
                <c:pt idx="49">
                  <c:v>92.4975710775392</c:v>
                </c:pt>
                <c:pt idx="50">
                  <c:v>92.5556372752057</c:v>
                </c:pt>
                <c:pt idx="51">
                  <c:v>92.6150481787639</c:v>
                </c:pt>
                <c:pt idx="52">
                  <c:v>92.6758345524794</c:v>
                </c:pt>
                <c:pt idx="53">
                  <c:v>92.7380278375492</c:v>
                </c:pt>
                <c:pt idx="54">
                  <c:v>92.8016601650625</c:v>
                </c:pt>
                <c:pt idx="55">
                  <c:v>92.8667643690664</c:v>
                </c:pt>
                <c:pt idx="56">
                  <c:v>92.9333739997253</c:v>
                </c:pt>
                <c:pt idx="57">
                  <c:v>93.0015233365612</c:v>
                </c:pt>
                <c:pt idx="58">
                  <c:v>93.0712474017614</c:v>
                </c:pt>
                <c:pt idx="59">
                  <c:v>93.1425819735385</c:v>
                </c:pt>
                <c:pt idx="60">
                  <c:v>93.2155635995266</c:v>
                </c:pt>
                <c:pt idx="61">
                  <c:v>93.290229610195</c:v>
                </c:pt>
                <c:pt idx="62">
                  <c:v>93.36661813226</c:v>
                </c:pt>
                <c:pt idx="63">
                  <c:v>93.4447681020729</c:v>
                </c:pt>
                <c:pt idx="64">
                  <c:v>93.5247192789613</c:v>
                </c:pt>
                <c:pt idx="65">
                  <c:v>93.6065122584973</c:v>
                </c:pt>
                <c:pt idx="66">
                  <c:v>93.6901884856656</c:v>
                </c:pt>
                <c:pt idx="67">
                  <c:v>93.7757902679009</c:v>
                </c:pt>
                <c:pt idx="68">
                  <c:v>93.8633607879625</c:v>
                </c:pt>
                <c:pt idx="69">
                  <c:v>93.9529441166094</c:v>
                </c:pt>
                <c:pt idx="70">
                  <c:v>94.0445852250405</c:v>
                </c:pt>
                <c:pt idx="71">
                  <c:v>94.1383299970552</c:v>
                </c:pt>
                <c:pt idx="72">
                  <c:v>94.2342252408927</c:v>
                </c:pt>
                <c:pt idx="73">
                  <c:v>94.3323187007016</c:v>
                </c:pt>
                <c:pt idx="74">
                  <c:v>94.432659067587</c:v>
                </c:pt>
                <c:pt idx="75">
                  <c:v>94.5352959901809</c:v>
                </c:pt>
                <c:pt idx="76">
                  <c:v>94.6402800846768</c:v>
                </c:pt>
                <c:pt idx="77">
                  <c:v>94.7476629442632</c:v>
                </c:pt>
                <c:pt idx="78">
                  <c:v>94.8574971478887</c:v>
                </c:pt>
                <c:pt idx="79">
                  <c:v>94.9698362682843</c:v>
                </c:pt>
                <c:pt idx="80">
                  <c:v>95.0847348791666</c:v>
                </c:pt>
                <c:pt idx="81">
                  <c:v>95.2022485615346</c:v>
                </c:pt>
                <c:pt idx="82">
                  <c:v>95.3224339089727</c:v>
                </c:pt>
                <c:pt idx="83">
                  <c:v>95.4453485318638</c:v>
                </c:pt>
                <c:pt idx="84">
                  <c:v>95.5710510604102</c:v>
                </c:pt>
                <c:pt idx="85">
                  <c:v>95.6996011463519</c:v>
                </c:pt>
                <c:pt idx="86">
                  <c:v>95.8310594632686</c:v>
                </c:pt>
                <c:pt idx="87">
                  <c:v>95.9654877053416</c:v>
                </c:pt>
                <c:pt idx="88">
                  <c:v>96.102948584442</c:v>
                </c:pt>
                <c:pt idx="89">
                  <c:v>96.2435058254098</c:v>
                </c:pt>
                <c:pt idx="90">
                  <c:v>96.387224159373</c:v>
                </c:pt>
                <c:pt idx="91">
                  <c:v>96.5341693149525</c:v>
                </c:pt>
                <c:pt idx="92">
                  <c:v>96.6844080071862</c:v>
                </c:pt>
                <c:pt idx="93">
                  <c:v>96.8380079239959</c:v>
                </c:pt>
                <c:pt idx="94">
                  <c:v>96.9950377100158</c:v>
                </c:pt>
                <c:pt idx="95">
                  <c:v>97.1555669475829</c:v>
                </c:pt>
                <c:pt idx="96">
                  <c:v>97.3196661346876</c:v>
                </c:pt>
                <c:pt idx="97">
                  <c:v>97.4874066596656</c:v>
                </c:pt>
                <c:pt idx="98">
                  <c:v>97.658860772406</c:v>
                </c:pt>
                <c:pt idx="99">
                  <c:v>97.8341015518356</c:v>
                </c:pt>
                <c:pt idx="100">
                  <c:v>98.0132028694299</c:v>
                </c:pt>
                <c:pt idx="101">
                  <c:v>98.1962393484911</c:v>
                </c:pt>
                <c:pt idx="102">
                  <c:v>98.3832863189178</c:v>
                </c:pt>
                <c:pt idx="103">
                  <c:v>98.5744197671847</c:v>
                </c:pt>
                <c:pt idx="104">
                  <c:v>98.7697162812347</c:v>
                </c:pt>
                <c:pt idx="105">
                  <c:v>98.969252989978</c:v>
                </c:pt>
                <c:pt idx="106">
                  <c:v>99.1731074970788</c:v>
                </c:pt>
                <c:pt idx="107">
                  <c:v>99.3813578087025</c:v>
                </c:pt>
                <c:pt idx="108">
                  <c:v>99.5940822548846</c:v>
                </c:pt>
                <c:pt idx="109">
                  <c:v>99.8113594041735</c:v>
                </c:pt>
                <c:pt idx="110">
                  <c:v>100.033267971191</c:v>
                </c:pt>
                <c:pt idx="111">
                  <c:v>100.259886716747</c:v>
                </c:pt>
                <c:pt idx="112">
                  <c:v>100.49129434014</c:v>
                </c:pt>
                <c:pt idx="113">
                  <c:v>100.727569363267</c:v>
                </c:pt>
                <c:pt idx="114">
                  <c:v>100.968790006163</c:v>
                </c:pt>
                <c:pt idx="115">
                  <c:v>101.215034053605</c:v>
                </c:pt>
                <c:pt idx="116">
                  <c:v>101.466378712384</c:v>
                </c:pt>
                <c:pt idx="117">
                  <c:v>101.722900458881</c:v>
                </c:pt>
                <c:pt idx="118">
                  <c:v>101.984674876593</c:v>
                </c:pt>
                <c:pt idx="119">
                  <c:v>102.251776483229</c:v>
                </c:pt>
                <c:pt idx="120">
                  <c:v>102.524278547045</c:v>
                </c:pt>
                <c:pt idx="121">
                  <c:v>102.802252892107</c:v>
                </c:pt>
                <c:pt idx="122">
                  <c:v>103.085769692144</c:v>
                </c:pt>
                <c:pt idx="123">
                  <c:v>103.374897252757</c:v>
                </c:pt>
                <c:pt idx="124">
                  <c:v>103.669701781704</c:v>
                </c:pt>
                <c:pt idx="125">
                  <c:v>103.970247147079</c:v>
                </c:pt>
                <c:pt idx="126">
                  <c:v>104.276594623211</c:v>
                </c:pt>
                <c:pt idx="127">
                  <c:v>104.588802624175</c:v>
                </c:pt>
                <c:pt idx="128">
                  <c:v>104.906926424869</c:v>
                </c:pt>
                <c:pt idx="129">
                  <c:v>105.231017869649</c:v>
                </c:pt>
                <c:pt idx="130">
                  <c:v>105.56112506863</c:v>
                </c:pt>
                <c:pt idx="131">
                  <c:v>105.897292081803</c:v>
                </c:pt>
                <c:pt idx="132">
                  <c:v>106.239558591224</c:v>
                </c:pt>
                <c:pt idx="133">
                  <c:v>106.587959561628</c:v>
                </c:pt>
                <c:pt idx="134">
                  <c:v>106.942524889935</c:v>
                </c:pt>
                <c:pt idx="135">
                  <c:v>107.3032790442</c:v>
                </c:pt>
                <c:pt idx="136">
                  <c:v>107.670240692733</c:v>
                </c:pt>
                <c:pt idx="137">
                  <c:v>108.043422324185</c:v>
                </c:pt>
                <c:pt idx="138">
                  <c:v>108.422829859597</c:v>
                </c:pt>
                <c:pt idx="139">
                  <c:v>108.808462257505</c:v>
                </c:pt>
                <c:pt idx="140">
                  <c:v>109.200311113391</c:v>
                </c:pt>
                <c:pt idx="141">
                  <c:v>109.598360254889</c:v>
                </c:pt>
                <c:pt idx="142">
                  <c:v>110.002585334351</c:v>
                </c:pt>
                <c:pt idx="143">
                  <c:v>110.412953420525</c:v>
                </c:pt>
                <c:pt idx="144">
                  <c:v>110.829422591288</c:v>
                </c:pt>
                <c:pt idx="145">
                  <c:v>111.251941529508</c:v>
                </c:pt>
                <c:pt idx="146">
                  <c:v>111.680449124317</c:v>
                </c:pt>
                <c:pt idx="147">
                  <c:v>112.114874080216</c:v>
                </c:pt>
                <c:pt idx="148">
                  <c:v>112.555134536577</c:v>
                </c:pt>
                <c:pt idx="149">
                  <c:v>113.001137700278</c:v>
                </c:pt>
                <c:pt idx="150">
                  <c:v>113.45277949432</c:v>
                </c:pt>
                <c:pt idx="151">
                  <c:v>113.90994422538</c:v>
                </c:pt>
                <c:pt idx="152">
                  <c:v>114.372504273379</c:v>
                </c:pt>
                <c:pt idx="153">
                  <c:v>114.840319806175</c:v>
                </c:pt>
                <c:pt idx="154">
                  <c:v>115.313238522586</c:v>
                </c:pt>
                <c:pt idx="155">
                  <c:v>115.791095426903</c:v>
                </c:pt>
                <c:pt idx="156">
                  <c:v>116.273712638097</c:v>
                </c:pt>
                <c:pt idx="157">
                  <c:v>116.760899236829</c:v>
                </c:pt>
                <c:pt idx="158">
                  <c:v>117.252451153307</c:v>
                </c:pt>
                <c:pt idx="159">
                  <c:v>117.748151098878</c:v>
                </c:pt>
                <c:pt idx="160">
                  <c:v>118.247768544111</c:v>
                </c:pt>
                <c:pt idx="161">
                  <c:v>118.75105974586</c:v>
                </c:pt>
                <c:pt idx="162">
                  <c:v>119.257767825589</c:v>
                </c:pt>
                <c:pt idx="163">
                  <c:v>119.7676229009</c:v>
                </c:pt>
                <c:pt idx="164">
                  <c:v>120.280342271889</c:v>
                </c:pt>
                <c:pt idx="165">
                  <c:v>120.79563066355</c:v>
                </c:pt>
                <c:pt idx="166">
                  <c:v>121.313180525058</c:v>
                </c:pt>
                <c:pt idx="167">
                  <c:v>121.832672386264</c:v>
                </c:pt>
                <c:pt idx="168">
                  <c:v>122.353775271311</c:v>
                </c:pt>
                <c:pt idx="169">
                  <c:v>122.876147168733</c:v>
                </c:pt>
                <c:pt idx="170">
                  <c:v>123.399435556891</c:v>
                </c:pt>
                <c:pt idx="171">
                  <c:v>123.923277983095</c:v>
                </c:pt>
                <c:pt idx="172">
                  <c:v>124.447302694203</c:v>
                </c:pt>
                <c:pt idx="173">
                  <c:v>124.971129315974</c:v>
                </c:pt>
                <c:pt idx="174">
                  <c:v>125.494369577964</c:v>
                </c:pt>
                <c:pt idx="175">
                  <c:v>126.016628080244</c:v>
                </c:pt>
                <c:pt idx="176">
                  <c:v>126.537503097785</c:v>
                </c:pt>
                <c:pt idx="177">
                  <c:v>127.056587417936</c:v>
                </c:pt>
                <c:pt idx="178">
                  <c:v>127.57346920607</c:v>
                </c:pt>
                <c:pt idx="179">
                  <c:v>128.087732894138</c:v>
                </c:pt>
                <c:pt idx="180">
                  <c:v>128.598960086653</c:v>
                </c:pt>
                <c:pt idx="181">
                  <c:v>129.106730478422</c:v>
                </c:pt>
                <c:pt idx="182">
                  <c:v>129.610622778227</c:v>
                </c:pt>
                <c:pt idx="183">
                  <c:v>130.110215632624</c:v>
                </c:pt>
                <c:pt idx="184">
                  <c:v>130.60508854405</c:v>
                </c:pt>
                <c:pt idx="185">
                  <c:v>131.094822777519</c:v>
                </c:pt>
                <c:pt idx="186">
                  <c:v>131.579002250372</c:v>
                </c:pt>
                <c:pt idx="187">
                  <c:v>132.057214399772</c:v>
                </c:pt>
                <c:pt idx="188">
                  <c:v>132.529051022926</c:v>
                </c:pt>
                <c:pt idx="189">
                  <c:v>132.994109085397</c:v>
                </c:pt>
                <c:pt idx="190">
                  <c:v>133.451991493243</c:v>
                </c:pt>
                <c:pt idx="191">
                  <c:v>133.902307825187</c:v>
                </c:pt>
                <c:pt idx="192">
                  <c:v>134.344675021515</c:v>
                </c:pt>
                <c:pt idx="193">
                  <c:v>134.778718026894</c:v>
                </c:pt>
                <c:pt idx="194">
                  <c:v>135.204070384835</c:v>
                </c:pt>
                <c:pt idx="195">
                  <c:v>135.620374782096</c:v>
                </c:pt>
                <c:pt idx="196">
                  <c:v>136.027283541821</c:v>
                </c:pt>
                <c:pt idx="197">
                  <c:v>136.424459064791</c:v>
                </c:pt>
                <c:pt idx="198">
                  <c:v>136.811574218666</c:v>
                </c:pt>
                <c:pt idx="199">
                  <c:v>137.188312675607</c:v>
                </c:pt>
                <c:pt idx="200">
                  <c:v>137.554369199155</c:v>
                </c:pt>
                <c:pt idx="201">
                  <c:v>137.909449881685</c:v>
                </c:pt>
                <c:pt idx="202">
                  <c:v>138.253272334177</c:v>
                </c:pt>
                <c:pt idx="203">
                  <c:v>138.585565830394</c:v>
                </c:pt>
                <c:pt idx="204">
                  <c:v>138.906071407934</c:v>
                </c:pt>
                <c:pt idx="205">
                  <c:v>139.214541928868</c:v>
                </c:pt>
                <c:pt idx="206">
                  <c:v>139.510742102944</c:v>
                </c:pt>
                <c:pt idx="207">
                  <c:v>139.794448476532</c:v>
                </c:pt>
                <c:pt idx="208">
                  <c:v>140.065449390631</c:v>
                </c:pt>
                <c:pt idx="209">
                  <c:v>140.323544911398</c:v>
                </c:pt>
                <c:pt idx="210">
                  <c:v>140.568546736688</c:v>
                </c:pt>
                <c:pt idx="211">
                  <c:v>140.800278082156</c:v>
                </c:pt>
                <c:pt idx="212">
                  <c:v>141.018573550473</c:v>
                </c:pt>
                <c:pt idx="213">
                  <c:v>141.223278987126</c:v>
                </c:pt>
                <c:pt idx="214">
                  <c:v>141.414251326254</c:v>
                </c:pt>
                <c:pt idx="215">
                  <c:v>141.591358429824</c:v>
                </c:pt>
                <c:pt idx="216">
                  <c:v>141.754478923366</c:v>
                </c:pt>
                <c:pt idx="217">
                  <c:v>141.903502031307</c:v>
                </c:pt>
                <c:pt idx="218">
                  <c:v>142.038327414791</c:v>
                </c:pt>
                <c:pt idx="219">
                  <c:v>142.158865014684</c:v>
                </c:pt>
                <c:pt idx="220">
                  <c:v>142.265034902259</c:v>
                </c:pt>
                <c:pt idx="221">
                  <c:v>142.356767139853</c:v>
                </c:pt>
                <c:pt idx="222">
                  <c:v>142.434001653551</c:v>
                </c:pt>
                <c:pt idx="223">
                  <c:v>142.49668811972</c:v>
                </c:pt>
                <c:pt idx="224">
                  <c:v>142.544785867002</c:v>
                </c:pt>
                <c:pt idx="225">
                  <c:v>142.578263795093</c:v>
                </c:pt>
                <c:pt idx="226">
                  <c:v>142.597100311407</c:v>
                </c:pt>
                <c:pt idx="227">
                  <c:v>142.601283286479</c:v>
                </c:pt>
                <c:pt idx="228">
                  <c:v>142.590810028679</c:v>
                </c:pt>
                <c:pt idx="229">
                  <c:v>142.56568727858</c:v>
                </c:pt>
                <c:pt idx="230">
                  <c:v>142.525931223052</c:v>
                </c:pt>
                <c:pt idx="231">
                  <c:v>142.471567528886</c:v>
                </c:pt>
                <c:pt idx="232">
                  <c:v>142.402631395525</c:v>
                </c:pt>
                <c:pt idx="233">
                  <c:v>142.319167626196</c:v>
                </c:pt>
                <c:pt idx="234">
                  <c:v>142.221230716479</c:v>
                </c:pt>
                <c:pt idx="235">
                  <c:v>142.108884959134</c:v>
                </c:pt>
                <c:pt idx="236">
                  <c:v>141.982204563716</c:v>
                </c:pt>
                <c:pt idx="237">
                  <c:v>141.841273789292</c:v>
                </c:pt>
                <c:pt idx="238">
                  <c:v>141.686187088334</c:v>
                </c:pt>
                <c:pt idx="239">
                  <c:v>141.517049259615</c:v>
                </c:pt>
                <c:pt idx="240">
                  <c:v>141.333975607755</c:v>
                </c:pt>
                <c:pt idx="241">
                  <c:v>141.137092106804</c:v>
                </c:pt>
                <c:pt idx="242">
                  <c:v>140.926535565104</c:v>
                </c:pt>
                <c:pt idx="243">
                  <c:v>140.702453788457</c:v>
                </c:pt>
                <c:pt idx="244">
                  <c:v>140.465005738492</c:v>
                </c:pt>
                <c:pt idx="245">
                  <c:v>140.214361682963</c:v>
                </c:pt>
                <c:pt idx="246">
                  <c:v>139.950703334621</c:v>
                </c:pt>
                <c:pt idx="247">
                  <c:v>139.674223975177</c:v>
                </c:pt>
                <c:pt idx="248">
                  <c:v>139.385128560864</c:v>
                </c:pt>
                <c:pt idx="249">
                  <c:v>139.083633806034</c:v>
                </c:pt>
                <c:pt idx="250">
                  <c:v>138.769968241263</c:v>
                </c:pt>
                <c:pt idx="251">
                  <c:v>138.444372242479</c:v>
                </c:pt>
                <c:pt idx="252">
                  <c:v>138.107098027713</c:v>
                </c:pt>
                <c:pt idx="253">
                  <c:v>137.758409618209</c:v>
                </c:pt>
                <c:pt idx="254">
                  <c:v>137.398582760786</c:v>
                </c:pt>
                <c:pt idx="255">
                  <c:v>137.027904808601</c:v>
                </c:pt>
                <c:pt idx="256">
                  <c:v>136.646674557678</c:v>
                </c:pt>
                <c:pt idx="257">
                  <c:v>136.255202036908</c:v>
                </c:pt>
                <c:pt idx="258">
                  <c:v>135.853808249576</c:v>
                </c:pt>
                <c:pt idx="259">
                  <c:v>135.442824864834</c:v>
                </c:pt>
                <c:pt idx="260">
                  <c:v>135.022593858003</c:v>
                </c:pt>
                <c:pt idx="261">
                  <c:v>134.593467099033</c:v>
                </c:pt>
                <c:pt idx="262">
                  <c:v>134.15580588893</c:v>
                </c:pt>
                <c:pt idx="263">
                  <c:v>133.709980444507</c:v>
                </c:pt>
                <c:pt idx="264">
                  <c:v>133.256369332319</c:v>
                </c:pt>
                <c:pt idx="265">
                  <c:v>132.795358853204</c:v>
                </c:pt>
                <c:pt idx="266">
                  <c:v>132.327342379373</c:v>
                </c:pt>
                <c:pt idx="267">
                  <c:v>131.852719646573</c:v>
                </c:pt>
                <c:pt idx="268">
                  <c:v>131.371896004319</c:v>
                </c:pt>
                <c:pt idx="269">
                  <c:v>130.885281627745</c:v>
                </c:pt>
                <c:pt idx="270">
                  <c:v>130.393290695044</c:v>
                </c:pt>
                <c:pt idx="271">
                  <c:v>129.896340534953</c:v>
                </c:pt>
                <c:pt idx="272">
                  <c:v>129.394850749071</c:v>
                </c:pt>
                <c:pt idx="273">
                  <c:v>128.889242314171</c:v>
                </c:pt>
                <c:pt idx="274">
                  <c:v>128.379936669916</c:v>
                </c:pt>
                <c:pt idx="275">
                  <c:v>127.867354797602</c:v>
                </c:pt>
                <c:pt idx="276">
                  <c:v>127.351916295697</c:v>
                </c:pt>
                <c:pt idx="277">
                  <c:v>126.834038457992</c:v>
                </c:pt>
                <c:pt idx="278">
                  <c:v>126.314135360216</c:v>
                </c:pt>
                <c:pt idx="279">
                  <c:v>125.792616960841</c:v>
                </c:pt>
                <c:pt idx="280">
                  <c:v>125.269888221699</c:v>
                </c:pt>
                <c:pt idx="281">
                  <c:v>124.74634825381</c:v>
                </c:pt>
                <c:pt idx="282">
                  <c:v>124.22238949351</c:v>
                </c:pt>
                <c:pt idx="283">
                  <c:v>123.698396913707</c:v>
                </c:pt>
                <c:pt idx="284">
                  <c:v>123.174747274622</c:v>
                </c:pt>
                <c:pt idx="285">
                  <c:v>122.65180841802</c:v>
                </c:pt>
                <c:pt idx="286">
                  <c:v>122.129938608411</c:v>
                </c:pt>
                <c:pt idx="287">
                  <c:v>121.609485924243</c:v>
                </c:pt>
                <c:pt idx="288">
                  <c:v>121.090787701589</c:v>
                </c:pt>
                <c:pt idx="289">
                  <c:v>120.574170032283</c:v>
                </c:pt>
                <c:pt idx="290">
                  <c:v>120.059947317958</c:v>
                </c:pt>
                <c:pt idx="291">
                  <c:v>119.548421880898</c:v>
                </c:pt>
                <c:pt idx="292">
                  <c:v>119.039883632115</c:v>
                </c:pt>
                <c:pt idx="293">
                  <c:v>118.534609796549</c:v>
                </c:pt>
                <c:pt idx="294">
                  <c:v>118.032864694844</c:v>
                </c:pt>
                <c:pt idx="295">
                  <c:v>117.5348995807</c:v>
                </c:pt>
                <c:pt idx="296">
                  <c:v>117.040952532399</c:v>
                </c:pt>
                <c:pt idx="297">
                  <c:v>116.551248396739</c:v>
                </c:pt>
                <c:pt idx="298">
                  <c:v>116.065998783287</c:v>
                </c:pt>
                <c:pt idx="299">
                  <c:v>115.585402106573</c:v>
                </c:pt>
                <c:pt idx="300">
                  <c:v>115.109643673611</c:v>
                </c:pt>
                <c:pt idx="301">
                  <c:v>114.638895813944</c:v>
                </c:pt>
                <c:pt idx="302">
                  <c:v>114.173318049234</c:v>
                </c:pt>
                <c:pt idx="303">
                  <c:v>113.713057299332</c:v>
                </c:pt>
                <c:pt idx="304">
                  <c:v>113.258248121671</c:v>
                </c:pt>
                <c:pt idx="305">
                  <c:v>112.809012980797</c:v>
                </c:pt>
                <c:pt idx="306">
                  <c:v>112.365462544842</c:v>
                </c:pt>
                <c:pt idx="307">
                  <c:v>111.927696005791</c:v>
                </c:pt>
                <c:pt idx="308">
                  <c:v>111.495801420418</c:v>
                </c:pt>
                <c:pt idx="309">
                  <c:v>111.069856068896</c:v>
                </c:pt>
                <c:pt idx="310">
                  <c:v>110.649926828133</c:v>
                </c:pt>
                <c:pt idx="311">
                  <c:v>110.236070557057</c:v>
                </c:pt>
                <c:pt idx="312">
                  <c:v>109.828334491187</c:v>
                </c:pt>
                <c:pt idx="313">
                  <c:v>109.426756643964</c:v>
                </c:pt>
                <c:pt idx="314">
                  <c:v>109.031366212501</c:v>
                </c:pt>
                <c:pt idx="315">
                  <c:v>108.64218398555</c:v>
                </c:pt>
                <c:pt idx="316">
                  <c:v>108.25922275167</c:v>
                </c:pt>
                <c:pt idx="317">
                  <c:v>107.882487705733</c:v>
                </c:pt>
                <c:pt idx="318">
                  <c:v>107.51197685208</c:v>
                </c:pt>
                <c:pt idx="319">
                  <c:v>107.147681402811</c:v>
                </c:pt>
                <c:pt idx="320">
                  <c:v>106.789586169847</c:v>
                </c:pt>
                <c:pt idx="321">
                  <c:v>106.437669949557</c:v>
                </c:pt>
                <c:pt idx="322">
                  <c:v>106.091905898901</c:v>
                </c:pt>
                <c:pt idx="323">
                  <c:v>105.752261902196</c:v>
                </c:pt>
                <c:pt idx="324">
                  <c:v>105.4187009277</c:v>
                </c:pt>
                <c:pt idx="325">
                  <c:v>105.091181373411</c:v>
                </c:pt>
                <c:pt idx="326">
                  <c:v>104.769657401531</c:v>
                </c:pt>
                <c:pt idx="327">
                  <c:v>104.454079261194</c:v>
                </c:pt>
                <c:pt idx="328">
                  <c:v>104.144393599148</c:v>
                </c:pt>
                <c:pt idx="329">
                  <c:v>103.840543758173</c:v>
                </c:pt>
                <c:pt idx="330">
                  <c:v>103.542470063111</c:v>
                </c:pt>
                <c:pt idx="331">
                  <c:v>103.250110094453</c:v>
                </c:pt>
                <c:pt idx="332">
                  <c:v>102.963398949499</c:v>
                </c:pt>
                <c:pt idx="333">
                  <c:v>102.682269491171</c:v>
                </c:pt>
                <c:pt idx="334">
                  <c:v>102.406652584617</c:v>
                </c:pt>
                <c:pt idx="335">
                  <c:v>102.136477321778</c:v>
                </c:pt>
                <c:pt idx="336">
                  <c:v>101.871671234153</c:v>
                </c:pt>
                <c:pt idx="337">
                  <c:v>101.612160494011</c:v>
                </c:pt>
                <c:pt idx="338">
                  <c:v>101.357870104338</c:v>
                </c:pt>
                <c:pt idx="339">
                  <c:v>101.108724077841</c:v>
                </c:pt>
                <c:pt idx="340">
                  <c:v>100.864645605334</c:v>
                </c:pt>
                <c:pt idx="341">
                  <c:v>100.625557213854</c:v>
                </c:pt>
                <c:pt idx="342">
                  <c:v>100.39138091488</c:v>
                </c:pt>
                <c:pt idx="343">
                  <c:v>100.162038343002</c:v>
                </c:pt>
                <c:pt idx="344">
                  <c:v>99.937450885447</c:v>
                </c:pt>
                <c:pt idx="345">
                  <c:v>99.7175398028051</c:v>
                </c:pt>
                <c:pt idx="346">
                  <c:v>99.5022263413626</c:v>
                </c:pt>
                <c:pt idx="347">
                  <c:v>99.2914318374012</c:v>
                </c:pt>
                <c:pt idx="348">
                  <c:v>99.085077813842</c:v>
                </c:pt>
                <c:pt idx="349">
                  <c:v>98.8830860696017</c:v>
                </c:pt>
                <c:pt idx="350">
                  <c:v>98.6853787620195</c:v>
                </c:pt>
                <c:pt idx="351">
                  <c:v>98.4918784827084</c:v>
                </c:pt>
                <c:pt idx="352">
                  <c:v>98.3025083271753</c:v>
                </c:pt>
                <c:pt idx="353">
                  <c:v>98.1171919585425</c:v>
                </c:pt>
                <c:pt idx="354">
                  <c:v>97.9358536656956</c:v>
                </c:pt>
                <c:pt idx="355">
                  <c:v>97.7584184161714</c:v>
                </c:pt>
                <c:pt idx="356">
                  <c:v>97.5848119040858</c:v>
                </c:pt>
                <c:pt idx="357">
                  <c:v>97.4149605933957</c:v>
                </c:pt>
                <c:pt idx="358">
                  <c:v>97.2487917567713</c:v>
                </c:pt>
                <c:pt idx="359">
                  <c:v>97.0862335103481</c:v>
                </c:pt>
                <c:pt idx="360">
                  <c:v>96.9272148446145</c:v>
                </c:pt>
                <c:pt idx="361">
                  <c:v>96.7716656516802</c:v>
                </c:pt>
                <c:pt idx="362">
                  <c:v>96.6195167491582</c:v>
                </c:pt>
                <c:pt idx="363">
                  <c:v>96.4706999008836</c:v>
                </c:pt>
                <c:pt idx="364">
                  <c:v>96.3251478346804</c:v>
                </c:pt>
                <c:pt idx="365">
                  <c:v>96.1827942573779</c:v>
                </c:pt>
                <c:pt idx="366">
                  <c:v>96.0435738672663</c:v>
                </c:pt>
                <c:pt idx="367">
                  <c:v>95.907422364173</c:v>
                </c:pt>
                <c:pt idx="368">
                  <c:v>95.774276457331</c:v>
                </c:pt>
                <c:pt idx="369">
                  <c:v>95.6440738711993</c:v>
                </c:pt>
                <c:pt idx="370">
                  <c:v>95.5167533493903</c:v>
                </c:pt>
                <c:pt idx="371">
                  <c:v>95.3922546568459</c:v>
                </c:pt>
                <c:pt idx="372">
                  <c:v>95.2705185803997</c:v>
                </c:pt>
                <c:pt idx="373">
                  <c:v>95.1514869278523</c:v>
                </c:pt>
                <c:pt idx="374">
                  <c:v>95.0351025256796</c:v>
                </c:pt>
                <c:pt idx="375">
                  <c:v>94.9213092154879</c:v>
                </c:pt>
                <c:pt idx="376">
                  <c:v>94.8100518493208</c:v>
                </c:pt>
                <c:pt idx="377">
                  <c:v>94.7012762839179</c:v>
                </c:pt>
                <c:pt idx="378">
                  <c:v>94.5949293740184</c:v>
                </c:pt>
                <c:pt idx="379">
                  <c:v>94.4909589647968</c:v>
                </c:pt>
                <c:pt idx="380">
                  <c:v>94.3893138835119</c:v>
                </c:pt>
                <c:pt idx="381">
                  <c:v>94.2899439304467</c:v>
                </c:pt>
                <c:pt idx="382">
                  <c:v>94.1927998692081</c:v>
                </c:pt>
                <c:pt idx="383">
                  <c:v>94.0978334164554</c:v>
                </c:pt>
                <c:pt idx="384">
                  <c:v>94.004997231118</c:v>
                </c:pt>
                <c:pt idx="385">
                  <c:v>93.9142449031603</c:v>
                </c:pt>
                <c:pt idx="386">
                  <c:v>93.8255309419475</c:v>
                </c:pt>
                <c:pt idx="387">
                  <c:v>93.7388107642629</c:v>
                </c:pt>
                <c:pt idx="388">
                  <c:v>93.6540406820214</c:v>
                </c:pt>
                <c:pt idx="389">
                  <c:v>93.5711778897245</c:v>
                </c:pt>
                <c:pt idx="390">
                  <c:v>93.4901804516943</c:v>
                </c:pt>
                <c:pt idx="391">
                  <c:v>93.4110072891254</c:v>
                </c:pt>
                <c:pt idx="392">
                  <c:v>93.3336181669871</c:v>
                </c:pt>
                <c:pt idx="393">
                  <c:v>93.2579736808091</c:v>
                </c:pt>
                <c:pt idx="394">
                  <c:v>93.1840352433788</c:v>
                </c:pt>
                <c:pt idx="395">
                  <c:v>93.1117650713765</c:v>
                </c:pt>
                <c:pt idx="396">
                  <c:v>93.0411261719747</c:v>
                </c:pt>
                <c:pt idx="397">
                  <c:v>92.9720823294228</c:v>
                </c:pt>
                <c:pt idx="398">
                  <c:v>92.9045980916389</c:v>
                </c:pt>
                <c:pt idx="399">
                  <c:v>92.8386387568267</c:v>
                </c:pt>
                <c:pt idx="400">
                  <c:v>92.7741703601362</c:v>
                </c:pt>
                <c:pt idx="401">
                  <c:v>92.7111596603828</c:v>
                </c:pt>
                <c:pt idx="402">
                  <c:v>92.6495741268407</c:v>
                </c:pt>
                <c:pt idx="403">
                  <c:v>92.5893819261219</c:v>
                </c:pt>
                <c:pt idx="404">
                  <c:v>92.5305519091542</c:v>
                </c:pt>
                <c:pt idx="405">
                  <c:v>92.4730535982686</c:v>
                </c:pt>
                <c:pt idx="406">
                  <c:v>92.4168571744055</c:v>
                </c:pt>
                <c:pt idx="407">
                  <c:v>92.3619334644478</c:v>
                </c:pt>
                <c:pt idx="408">
                  <c:v>92.3082539286904</c:v>
                </c:pt>
                <c:pt idx="409">
                  <c:v>92.2557906484513</c:v>
                </c:pt>
                <c:pt idx="410">
                  <c:v>92.204516313831</c:v>
                </c:pt>
                <c:pt idx="411">
                  <c:v>92.1544042116256</c:v>
                </c:pt>
                <c:pt idx="412">
                  <c:v>92.1054282133988</c:v>
                </c:pt>
                <c:pt idx="413">
                  <c:v>92.057562763715</c:v>
                </c:pt>
                <c:pt idx="414">
                  <c:v>92.0107828685399</c:v>
                </c:pt>
                <c:pt idx="415">
                  <c:v>91.9650640838085</c:v>
                </c:pt>
                <c:pt idx="416">
                  <c:v>91.9203825041647</c:v>
                </c:pt>
                <c:pt idx="417">
                  <c:v>91.8767147518743</c:v>
                </c:pt>
                <c:pt idx="418">
                  <c:v>91.8340379659124</c:v>
                </c:pt>
                <c:pt idx="419">
                  <c:v>91.7923297912263</c:v>
                </c:pt>
                <c:pt idx="420">
                  <c:v>91.7515683681755</c:v>
                </c:pt>
                <c:pt idx="421">
                  <c:v>91.7117323221481</c:v>
                </c:pt>
                <c:pt idx="422">
                  <c:v>91.6728007533552</c:v>
                </c:pt>
                <c:pt idx="423">
                  <c:v>91.6347532268013</c:v>
                </c:pt>
                <c:pt idx="424">
                  <c:v>91.5975697624321</c:v>
                </c:pt>
                <c:pt idx="425">
                  <c:v>91.561230825458</c:v>
                </c:pt>
                <c:pt idx="426">
                  <c:v>91.5257173168525</c:v>
                </c:pt>
                <c:pt idx="427">
                  <c:v>91.4910105640261</c:v>
                </c:pt>
                <c:pt idx="428">
                  <c:v>91.4570923116712</c:v>
                </c:pt>
                <c:pt idx="429">
                  <c:v>91.4239447127804</c:v>
                </c:pt>
                <c:pt idx="430">
                  <c:v>91.3915503198342</c:v>
                </c:pt>
                <c:pt idx="431">
                  <c:v>91.3598920761572</c:v>
                </c:pt>
                <c:pt idx="432">
                  <c:v>91.3289533074417</c:v>
                </c:pt>
                <c:pt idx="433">
                  <c:v>91.2987177134358</c:v>
                </c:pt>
                <c:pt idx="434">
                  <c:v>91.2691693597951</c:v>
                </c:pt>
                <c:pt idx="435">
                  <c:v>91.2402926700949</c:v>
                </c:pt>
                <c:pt idx="436">
                  <c:v>91.2120724180024</c:v>
                </c:pt>
                <c:pt idx="437">
                  <c:v>91.1844937196052</c:v>
                </c:pt>
                <c:pt idx="438">
                  <c:v>91.1575420258948</c:v>
                </c:pt>
                <c:pt idx="439">
                  <c:v>91.1312031154028</c:v>
                </c:pt>
                <c:pt idx="440">
                  <c:v>91.1054630869872</c:v>
                </c:pt>
                <c:pt idx="441">
                  <c:v>91.0803083527673</c:v>
                </c:pt>
                <c:pt idx="442">
                  <c:v>91.0557256312039</c:v>
                </c:pt>
                <c:pt idx="443">
                  <c:v>91.0317019403227</c:v>
                </c:pt>
                <c:pt idx="444">
                  <c:v>91.0082245910802</c:v>
                </c:pt>
                <c:pt idx="445">
                  <c:v>90.9852811808665</c:v>
                </c:pt>
                <c:pt idx="446">
                  <c:v>90.9628595871461</c:v>
                </c:pt>
                <c:pt idx="447">
                  <c:v>90.9409479612316</c:v>
                </c:pt>
                <c:pt idx="448">
                  <c:v>90.9195347221906</c:v>
                </c:pt>
                <c:pt idx="449">
                  <c:v>90.8986085508801</c:v>
                </c:pt>
                <c:pt idx="450">
                  <c:v>90.8781583841101</c:v>
                </c:pt>
                <c:pt idx="451">
                  <c:v>90.85817340893</c:v>
                </c:pt>
                <c:pt idx="452">
                  <c:v>90.8386430570392</c:v>
                </c:pt>
                <c:pt idx="453">
                  <c:v>90.8195569993163</c:v>
                </c:pt>
                <c:pt idx="454">
                  <c:v>90.8009051404678</c:v>
                </c:pt>
                <c:pt idx="455">
                  <c:v>90.782677613791</c:v>
                </c:pt>
                <c:pt idx="456">
                  <c:v>90.7648647760515</c:v>
                </c:pt>
                <c:pt idx="457">
                  <c:v>90.7474572024713</c:v>
                </c:pt>
                <c:pt idx="458">
                  <c:v>90.7304456818262</c:v>
                </c:pt>
                <c:pt idx="459">
                  <c:v>90.7138212116502</c:v>
                </c:pt>
                <c:pt idx="460">
                  <c:v>90.6975749935444</c:v>
                </c:pt>
                <c:pt idx="461">
                  <c:v>90.681698428589</c:v>
                </c:pt>
                <c:pt idx="462">
                  <c:v>90.6661831128557</c:v>
                </c:pt>
                <c:pt idx="463">
                  <c:v>90.6510208330188</c:v>
                </c:pt>
                <c:pt idx="464">
                  <c:v>90.6362035620628</c:v>
                </c:pt>
                <c:pt idx="465">
                  <c:v>90.6217234550846</c:v>
                </c:pt>
                <c:pt idx="466">
                  <c:v>90.6075728451887</c:v>
                </c:pt>
                <c:pt idx="467">
                  <c:v>90.5937442394727</c:v>
                </c:pt>
                <c:pt idx="468">
                  <c:v>90.580230315102</c:v>
                </c:pt>
                <c:pt idx="469">
                  <c:v>90.5670239154712</c:v>
                </c:pt>
                <c:pt idx="470">
                  <c:v>90.554118046451</c:v>
                </c:pt>
                <c:pt idx="471">
                  <c:v>90.5415058727182</c:v>
                </c:pt>
                <c:pt idx="472">
                  <c:v>90.529180714168</c:v>
                </c:pt>
                <c:pt idx="473">
                  <c:v>90.5171360424048</c:v>
                </c:pt>
                <c:pt idx="474">
                  <c:v>90.505365477313</c:v>
                </c:pt>
                <c:pt idx="475">
                  <c:v>90.4938627837029</c:v>
                </c:pt>
                <c:pt idx="476">
                  <c:v>90.4826218680318</c:v>
                </c:pt>
                <c:pt idx="477">
                  <c:v>90.4716367751995</c:v>
                </c:pt>
                <c:pt idx="478">
                  <c:v>90.4609016854134</c:v>
                </c:pt>
                <c:pt idx="479">
                  <c:v>90.450410911126</c:v>
                </c:pt>
                <c:pt idx="480">
                  <c:v>90.4401588940392</c:v>
                </c:pt>
                <c:pt idx="481">
                  <c:v>90.4301402021773</c:v>
                </c:pt>
                <c:pt idx="482">
                  <c:v>90.4203495270241</c:v>
                </c:pt>
                <c:pt idx="483">
                  <c:v>90.4107816807257</c:v>
                </c:pt>
                <c:pt idx="484">
                  <c:v>90.4014315933553</c:v>
                </c:pt>
                <c:pt idx="485">
                  <c:v>90.3922943102399</c:v>
                </c:pt>
                <c:pt idx="486">
                  <c:v>90.3833649893464</c:v>
                </c:pt>
                <c:pt idx="487">
                  <c:v>90.3746388987279</c:v>
                </c:pt>
                <c:pt idx="488">
                  <c:v>90.366111414026</c:v>
                </c:pt>
                <c:pt idx="489">
                  <c:v>90.3577780160303</c:v>
                </c:pt>
                <c:pt idx="490">
                  <c:v>90.3496342882926</c:v>
                </c:pt>
                <c:pt idx="491">
                  <c:v>90.341675914795</c:v>
                </c:pt>
                <c:pt idx="492">
                  <c:v>90.3338986776702</c:v>
                </c:pt>
                <c:pt idx="493">
                  <c:v>90.3262984549741</c:v>
                </c:pt>
                <c:pt idx="494">
                  <c:v>90.3188712185077</c:v>
                </c:pt>
                <c:pt idx="495">
                  <c:v>90.311613031689</c:v>
                </c:pt>
                <c:pt idx="496">
                  <c:v>90.3045200474723</c:v>
                </c:pt>
                <c:pt idx="497">
                  <c:v>90.297588506315</c:v>
                </c:pt>
                <c:pt idx="498">
                  <c:v>90.2908147341902</c:v>
                </c:pt>
                <c:pt idx="499">
                  <c:v>90.2841951406446</c:v>
                </c:pt>
                <c:pt idx="500">
                  <c:v>90.2777262168991</c:v>
                </c:pt>
                <c:pt idx="501">
                  <c:v>90.2714045339944</c:v>
                </c:pt>
                <c:pt idx="502">
                  <c:v>90.2652267409764</c:v>
                </c:pt>
                <c:pt idx="503">
                  <c:v>90.2591895631245</c:v>
                </c:pt>
                <c:pt idx="504">
                  <c:v>90.2532898002188</c:v>
                </c:pt>
                <c:pt idx="505">
                  <c:v>90.2475243248472</c:v>
                </c:pt>
                <c:pt idx="506">
                  <c:v>90.2418900807505</c:v>
                </c:pt>
                <c:pt idx="507">
                  <c:v>90.2363840812051</c:v>
                </c:pt>
                <c:pt idx="508">
                  <c:v>90.2310034074426</c:v>
                </c:pt>
                <c:pt idx="509">
                  <c:v>90.2257452071049</c:v>
                </c:pt>
                <c:pt idx="510">
                  <c:v>90.2206066927346</c:v>
                </c:pt>
                <c:pt idx="511">
                  <c:v>90.2155851402992</c:v>
                </c:pt>
                <c:pt idx="512">
                  <c:v>90.2106778877491</c:v>
                </c:pt>
                <c:pt idx="513">
                  <c:v>90.2058823336085</c:v>
                </c:pt>
                <c:pt idx="514">
                  <c:v>90.2011959355981</c:v>
                </c:pt>
                <c:pt idx="515">
                  <c:v>90.1966162092884</c:v>
                </c:pt>
                <c:pt idx="516">
                  <c:v>90.1921407267849</c:v>
                </c:pt>
                <c:pt idx="517">
                  <c:v>90.187767115442</c:v>
                </c:pt>
                <c:pt idx="518">
                  <c:v>90.1834930566063</c:v>
                </c:pt>
                <c:pt idx="519">
                  <c:v>90.1793162843892</c:v>
                </c:pt>
                <c:pt idx="520">
                  <c:v>90.1752345844664</c:v>
                </c:pt>
                <c:pt idx="521">
                  <c:v>90.1712457929049</c:v>
                </c:pt>
                <c:pt idx="522">
                  <c:v>90.1673477950173</c:v>
                </c:pt>
                <c:pt idx="523">
                  <c:v>90.1635385242412</c:v>
                </c:pt>
                <c:pt idx="524">
                  <c:v>90.1598159610447</c:v>
                </c:pt>
                <c:pt idx="525">
                  <c:v>90.1561781318565</c:v>
                </c:pt>
                <c:pt idx="526">
                  <c:v>90.1526231080202</c:v>
                </c:pt>
                <c:pt idx="527">
                  <c:v>90.1491490047726</c:v>
                </c:pt>
                <c:pt idx="528">
                  <c:v>90.1457539802454</c:v>
                </c:pt>
                <c:pt idx="529">
                  <c:v>90.1424362344888</c:v>
                </c:pt>
                <c:pt idx="530">
                  <c:v>90.1391940085181</c:v>
                </c:pt>
                <c:pt idx="531">
                  <c:v>90.1360255833819</c:v>
                </c:pt>
                <c:pt idx="532">
                  <c:v>90.1329292792507</c:v>
                </c:pt>
                <c:pt idx="533">
                  <c:v>90.1299034545271</c:v>
                </c:pt>
                <c:pt idx="534">
                  <c:v>90.1269465049761</c:v>
                </c:pt>
                <c:pt idx="535">
                  <c:v>90.1240568628744</c:v>
                </c:pt>
                <c:pt idx="536">
                  <c:v>90.1212329961804</c:v>
                </c:pt>
                <c:pt idx="537">
                  <c:v>90.1184734077213</c:v>
                </c:pt>
                <c:pt idx="538">
                  <c:v>90.1157766344006</c:v>
                </c:pt>
                <c:pt idx="539">
                  <c:v>90.1131412464222</c:v>
                </c:pt>
                <c:pt idx="540">
                  <c:v>90.1105658465326</c:v>
                </c:pt>
                <c:pt idx="541">
                  <c:v>90.1080490692807</c:v>
                </c:pt>
              </c:numCache>
            </c:numRef>
          </c:yVal>
          <c:smooth val="1"/>
        </c:ser>
        <c:dLbls>
          <c:showLegendKey val="0"/>
          <c:showVal val="0"/>
          <c:showCatName val="0"/>
          <c:showSerName val="0"/>
          <c:showPercent val="0"/>
          <c:showBubbleSize val="0"/>
        </c:dLbls>
        <c:axId val="175568384"/>
        <c:axId val="175566848"/>
      </c:scatterChart>
      <c:valAx>
        <c:axId val="17555865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0576"/>
        <c:crosses val="autoZero"/>
        <c:crossBetween val="midCat"/>
      </c:valAx>
      <c:valAx>
        <c:axId val="17556057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58656"/>
        <c:crosses val="autoZero"/>
        <c:crossBetween val="midCat"/>
        <c:majorUnit val="20"/>
        <c:minorUnit val="10"/>
      </c:valAx>
      <c:valAx>
        <c:axId val="1755683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6848"/>
        <c:crosses val="autoZero"/>
        <c:crossBetween val="midCat"/>
      </c:valAx>
      <c:valAx>
        <c:axId val="175566848"/>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8384"/>
        <c:crosses val="max"/>
        <c:crossBetween val="midCat"/>
        <c:majorUnit val="90"/>
        <c:minorUnit val="45"/>
      </c:valAx>
    </c:plotArea>
    <c:legend>
      <c:legendPos val="r"/>
      <c:layout>
        <c:manualLayout>
          <c:xMode val="edge"/>
          <c:yMode val="edge"/>
          <c:x val="0.798805582095125"/>
          <c:y val="0.14321997959862"/>
          <c:w val="0.134850481555914"/>
          <c:h val="0.105286249699137"/>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51ba628-39a9-4006-b0f5-1dd1637f385b}"/>
      </c:ext>
    </c:extLst>
  </c:chart>
  <c:txPr>
    <a:bodyPr/>
    <a:lstStyle/>
    <a:p>
      <a:pPr>
        <a:defRPr lang="pl-PL"/>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CCM Control Loop Transfer Function</a:t>
            </a:r>
            <a:endParaRPr lang="en-US" baseline="0"/>
          </a:p>
        </c:rich>
      </c:tx>
      <c:layout/>
      <c:overlay val="0"/>
    </c:title>
    <c:autoTitleDeleted val="0"/>
    <c:plotArea>
      <c:layout/>
      <c:scatterChart>
        <c:scatterStyle val="smooth"/>
        <c:varyColors val="0"/>
        <c:ser>
          <c:idx val="0"/>
          <c:order val="0"/>
          <c:tx>
            <c:strRef>
              <c:f>"Gain (dB)"</c:f>
              <c:strCache>
                <c:ptCount val="1"/>
                <c:pt idx="0">
                  <c:v>Gain (dB)</c:v>
                </c:pt>
              </c:strCache>
            </c:strRef>
          </c:tx>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Loop_Modeling!$BG$19:$BG$560</c:f>
              <c:numCache>
                <c:formatCode>0.000</c:formatCode>
                <c:ptCount val="542"/>
                <c:pt idx="0">
                  <c:v>53.0845415694369</c:v>
                </c:pt>
                <c:pt idx="1">
                  <c:v>52.8845212185626</c:v>
                </c:pt>
                <c:pt idx="2">
                  <c:v>52.6844999091908</c:v>
                </c:pt>
                <c:pt idx="3">
                  <c:v>52.4844775962079</c:v>
                </c:pt>
                <c:pt idx="4">
                  <c:v>52.2844542323795</c:v>
                </c:pt>
                <c:pt idx="5">
                  <c:v>52.0844297682515</c:v>
                </c:pt>
                <c:pt idx="6">
                  <c:v>51.884404152046</c:v>
                </c:pt>
                <c:pt idx="7">
                  <c:v>51.684377329552</c:v>
                </c:pt>
                <c:pt idx="8">
                  <c:v>51.4843492440122</c:v>
                </c:pt>
                <c:pt idx="9">
                  <c:v>51.2843198360031</c:v>
                </c:pt>
                <c:pt idx="10">
                  <c:v>51.0842890433108</c:v>
                </c:pt>
                <c:pt idx="11">
                  <c:v>50.8842568007998</c:v>
                </c:pt>
                <c:pt idx="12">
                  <c:v>50.684223040277</c:v>
                </c:pt>
                <c:pt idx="13">
                  <c:v>50.484187690348</c:v>
                </c:pt>
                <c:pt idx="14">
                  <c:v>50.2841506762684</c:v>
                </c:pt>
                <c:pt idx="15">
                  <c:v>50.0841119197867</c:v>
                </c:pt>
                <c:pt idx="16">
                  <c:v>49.8840713389803</c:v>
                </c:pt>
                <c:pt idx="17">
                  <c:v>49.6840288480845</c:v>
                </c:pt>
                <c:pt idx="18">
                  <c:v>49.4839843573136</c:v>
                </c:pt>
                <c:pt idx="19">
                  <c:v>49.2839377726724</c:v>
                </c:pt>
                <c:pt idx="20">
                  <c:v>49.083888995761</c:v>
                </c:pt>
                <c:pt idx="21">
                  <c:v>48.8838379235687</c:v>
                </c:pt>
                <c:pt idx="22">
                  <c:v>48.6837844482601</c:v>
                </c:pt>
                <c:pt idx="23">
                  <c:v>48.4837284569498</c:v>
                </c:pt>
                <c:pt idx="24">
                  <c:v>48.2836698314683</c:v>
                </c:pt>
                <c:pt idx="25">
                  <c:v>48.0836084481156</c:v>
                </c:pt>
                <c:pt idx="26">
                  <c:v>47.8835441774051</c:v>
                </c:pt>
                <c:pt idx="27">
                  <c:v>47.6834768837944</c:v>
                </c:pt>
                <c:pt idx="28">
                  <c:v>47.4834064254048</c:v>
                </c:pt>
                <c:pt idx="29">
                  <c:v>47.2833326537275</c:v>
                </c:pt>
                <c:pt idx="30">
                  <c:v>47.0832554133162</c:v>
                </c:pt>
                <c:pt idx="31">
                  <c:v>46.8831745414669</c:v>
                </c:pt>
                <c:pt idx="32">
                  <c:v>46.6830898678813</c:v>
                </c:pt>
                <c:pt idx="33">
                  <c:v>46.4830012143172</c:v>
                </c:pt>
                <c:pt idx="34">
                  <c:v>46.2829083942209</c:v>
                </c:pt>
                <c:pt idx="35">
                  <c:v>46.0828112123447</c:v>
                </c:pt>
                <c:pt idx="36">
                  <c:v>45.8827094643464</c:v>
                </c:pt>
                <c:pt idx="37">
                  <c:v>45.6826029363706</c:v>
                </c:pt>
                <c:pt idx="38">
                  <c:v>45.4824914046124</c:v>
                </c:pt>
                <c:pt idx="39">
                  <c:v>45.2823746348601</c:v>
                </c:pt>
                <c:pt idx="40">
                  <c:v>45.0822523820185</c:v>
                </c:pt>
                <c:pt idx="41">
                  <c:v>44.8821243896113</c:v>
                </c:pt>
                <c:pt idx="42">
                  <c:v>44.6819903892601</c:v>
                </c:pt>
                <c:pt idx="43">
                  <c:v>44.4818501001419</c:v>
                </c:pt>
                <c:pt idx="44">
                  <c:v>44.2817032284217</c:v>
                </c:pt>
                <c:pt idx="45">
                  <c:v>44.0815494666612</c:v>
                </c:pt>
                <c:pt idx="46">
                  <c:v>43.8813884932001</c:v>
                </c:pt>
                <c:pt idx="47">
                  <c:v>43.6812199715125</c:v>
                </c:pt>
                <c:pt idx="48">
                  <c:v>43.4810435495338</c:v>
                </c:pt>
                <c:pt idx="49">
                  <c:v>43.2808588589589</c:v>
                </c:pt>
                <c:pt idx="50">
                  <c:v>43.0806655145111</c:v>
                </c:pt>
                <c:pt idx="51">
                  <c:v>42.8804631131786</c:v>
                </c:pt>
                <c:pt idx="52">
                  <c:v>42.6802512334189</c:v>
                </c:pt>
                <c:pt idx="53">
                  <c:v>42.4800294343302</c:v>
                </c:pt>
                <c:pt idx="54">
                  <c:v>42.2797972547869</c:v>
                </c:pt>
                <c:pt idx="55">
                  <c:v>42.0795542125396</c:v>
                </c:pt>
                <c:pt idx="56">
                  <c:v>41.8792998032775</c:v>
                </c:pt>
                <c:pt idx="57">
                  <c:v>41.6790334996519</c:v>
                </c:pt>
                <c:pt idx="58">
                  <c:v>41.4787547502606</c:v>
                </c:pt>
                <c:pt idx="59">
                  <c:v>41.2784629785891</c:v>
                </c:pt>
                <c:pt idx="60">
                  <c:v>41.0781575819114</c:v>
                </c:pt>
                <c:pt idx="61">
                  <c:v>40.8778379301447</c:v>
                </c:pt>
                <c:pt idx="62">
                  <c:v>40.6775033646605</c:v>
                </c:pt>
                <c:pt idx="63">
                  <c:v>40.4771531970477</c:v>
                </c:pt>
                <c:pt idx="64">
                  <c:v>40.2767867078279</c:v>
                </c:pt>
                <c:pt idx="65">
                  <c:v>40.0764031451224</c:v>
                </c:pt>
                <c:pt idx="66">
                  <c:v>39.8760017232666</c:v>
                </c:pt>
                <c:pt idx="67">
                  <c:v>39.6755816213743</c:v>
                </c:pt>
                <c:pt idx="68">
                  <c:v>39.4751419818477</c:v>
                </c:pt>
                <c:pt idx="69">
                  <c:v>39.274681908834</c:v>
                </c:pt>
                <c:pt idx="70">
                  <c:v>39.0742004666253</c:v>
                </c:pt>
                <c:pt idx="71">
                  <c:v>38.8736966780031</c:v>
                </c:pt>
                <c:pt idx="72">
                  <c:v>38.6731695225254</c:v>
                </c:pt>
                <c:pt idx="73">
                  <c:v>38.4726179347546</c:v>
                </c:pt>
                <c:pt idx="74">
                  <c:v>38.2720408024276</c:v>
                </c:pt>
                <c:pt idx="75">
                  <c:v>38.0714369645653</c:v>
                </c:pt>
                <c:pt idx="76">
                  <c:v>37.8708052095229</c:v>
                </c:pt>
                <c:pt idx="77">
                  <c:v>37.67014427298</c:v>
                </c:pt>
                <c:pt idx="78">
                  <c:v>37.46945283587</c:v>
                </c:pt>
                <c:pt idx="79">
                  <c:v>37.2687295222501</c:v>
                </c:pt>
                <c:pt idx="80">
                  <c:v>37.0679728971118</c:v>
                </c:pt>
                <c:pt idx="81">
                  <c:v>36.8671814641321</c:v>
                </c:pt>
                <c:pt idx="82">
                  <c:v>36.6663536633685</c:v>
                </c:pt>
                <c:pt idx="83">
                  <c:v>36.4654878688965</c:v>
                </c:pt>
                <c:pt idx="84">
                  <c:v>36.2645823863942</c:v>
                </c:pt>
                <c:pt idx="85">
                  <c:v>36.0636354506747</c:v>
                </c:pt>
                <c:pt idx="86">
                  <c:v>35.8626452231699</c:v>
                </c:pt>
                <c:pt idx="87">
                  <c:v>35.6616097893683</c:v>
                </c:pt>
                <c:pt idx="88">
                  <c:v>35.4605271562128</c:v>
                </c:pt>
                <c:pt idx="89">
                  <c:v>35.2593952494604</c:v>
                </c:pt>
                <c:pt idx="90">
                  <c:v>35.0582119110126</c:v>
                </c:pt>
                <c:pt idx="91">
                  <c:v>34.8569748962189</c:v>
                </c:pt>
                <c:pt idx="92">
                  <c:v>34.6556818711639</c:v>
                </c:pt>
                <c:pt idx="93">
                  <c:v>34.4543304099445</c:v>
                </c:pt>
                <c:pt idx="94">
                  <c:v>34.2529179919462</c:v>
                </c:pt>
                <c:pt idx="95">
                  <c:v>34.0514419991289</c:v>
                </c:pt>
                <c:pt idx="96">
                  <c:v>33.8498997133341</c:v>
                </c:pt>
                <c:pt idx="97">
                  <c:v>33.6482883136246</c:v>
                </c:pt>
                <c:pt idx="98">
                  <c:v>33.4466048736727</c:v>
                </c:pt>
                <c:pt idx="99">
                  <c:v>33.2448463592101</c:v>
                </c:pt>
                <c:pt idx="100">
                  <c:v>33.0430096255588</c:v>
                </c:pt>
                <c:pt idx="101">
                  <c:v>32.8410914152586</c:v>
                </c:pt>
                <c:pt idx="102">
                  <c:v>32.6390883558146</c:v>
                </c:pt>
                <c:pt idx="103">
                  <c:v>32.4369969575847</c:v>
                </c:pt>
                <c:pt idx="104">
                  <c:v>32.2348136118319</c:v>
                </c:pt>
                <c:pt idx="105">
                  <c:v>32.032534588967</c:v>
                </c:pt>
                <c:pt idx="106">
                  <c:v>31.8301560370097</c:v>
                </c:pt>
                <c:pt idx="107">
                  <c:v>31.6276739802997</c:v>
                </c:pt>
                <c:pt idx="108">
                  <c:v>31.4250843184877</c:v>
                </c:pt>
                <c:pt idx="109">
                  <c:v>31.2223828258434</c:v>
                </c:pt>
                <c:pt idx="110">
                  <c:v>31.019565150916</c:v>
                </c:pt>
                <c:pt idx="111">
                  <c:v>30.8166268165867</c:v>
                </c:pt>
                <c:pt idx="112">
                  <c:v>30.6135632205559</c:v>
                </c:pt>
                <c:pt idx="113">
                  <c:v>30.4103696363078</c:v>
                </c:pt>
                <c:pt idx="114">
                  <c:v>30.2070412145991</c:v>
                </c:pt>
                <c:pt idx="115">
                  <c:v>30.0035729855199</c:v>
                </c:pt>
                <c:pt idx="116">
                  <c:v>29.7999598611786</c:v>
                </c:pt>
                <c:pt idx="117">
                  <c:v>29.5961966390605</c:v>
                </c:pt>
                <c:pt idx="118">
                  <c:v>29.3922780061168</c:v>
                </c:pt>
                <c:pt idx="119">
                  <c:v>29.1881985436378</c:v>
                </c:pt>
                <c:pt idx="120">
                  <c:v>28.9839527329674</c:v>
                </c:pt>
                <c:pt idx="121">
                  <c:v>28.7795349621157</c:v>
                </c:pt>
                <c:pt idx="122">
                  <c:v>28.5749395333287</c:v>
                </c:pt>
                <c:pt idx="123">
                  <c:v>28.3701606716699</c:v>
                </c:pt>
                <c:pt idx="124">
                  <c:v>28.1651925346723</c:v>
                </c:pt>
                <c:pt idx="125">
                  <c:v>27.9600292231163</c:v>
                </c:pt>
                <c:pt idx="126">
                  <c:v>27.7546647929827</c:v>
                </c:pt>
                <c:pt idx="127">
                  <c:v>27.5490932686348</c:v>
                </c:pt>
                <c:pt idx="128">
                  <c:v>27.3433086572721</c:v>
                </c:pt>
                <c:pt idx="129">
                  <c:v>27.1373049646971</c:v>
                </c:pt>
                <c:pt idx="130">
                  <c:v>26.9310762124288</c:v>
                </c:pt>
                <c:pt idx="131">
                  <c:v>26.7246164561914</c:v>
                </c:pt>
                <c:pt idx="132">
                  <c:v>26.517919805793</c:v>
                </c:pt>
                <c:pt idx="133">
                  <c:v>26.310980446407</c:v>
                </c:pt>
                <c:pt idx="134">
                  <c:v>26.1037926612483</c:v>
                </c:pt>
                <c:pt idx="135">
                  <c:v>25.8963508556312</c:v>
                </c:pt>
                <c:pt idx="136">
                  <c:v>25.6886495823782</c:v>
                </c:pt>
                <c:pt idx="137">
                  <c:v>25.4806835685313</c:v>
                </c:pt>
                <c:pt idx="138">
                  <c:v>25.2724477433059</c:v>
                </c:pt>
                <c:pt idx="139">
                  <c:v>25.0639372672024</c:v>
                </c:pt>
                <c:pt idx="140">
                  <c:v>24.8551475621753</c:v>
                </c:pt>
                <c:pt idx="141">
                  <c:v>24.6460743427369</c:v>
                </c:pt>
                <c:pt idx="142">
                  <c:v>24.4367136478492</c:v>
                </c:pt>
                <c:pt idx="143">
                  <c:v>24.2270618734393</c:v>
                </c:pt>
                <c:pt idx="144">
                  <c:v>24.0171158053452</c:v>
                </c:pt>
                <c:pt idx="145">
                  <c:v>23.8068726524784</c:v>
                </c:pt>
                <c:pt idx="146">
                  <c:v>23.5963300799657</c:v>
                </c:pt>
                <c:pt idx="147">
                  <c:v>23.3854862420095</c:v>
                </c:pt>
                <c:pt idx="148">
                  <c:v>23.1743398141841</c:v>
                </c:pt>
                <c:pt idx="149">
                  <c:v>22.9628900248657</c:v>
                </c:pt>
                <c:pt idx="150">
                  <c:v>22.7511366854732</c:v>
                </c:pt>
                <c:pt idx="151">
                  <c:v>22.5390802191842</c:v>
                </c:pt>
                <c:pt idx="152">
                  <c:v>22.326721687775</c:v>
                </c:pt>
                <c:pt idx="153">
                  <c:v>22.1140628162223</c:v>
                </c:pt>
                <c:pt idx="154">
                  <c:v>21.9011060147064</c:v>
                </c:pt>
                <c:pt idx="155">
                  <c:v>21.6878543976431</c:v>
                </c:pt>
                <c:pt idx="156">
                  <c:v>21.474311799388</c:v>
                </c:pt>
                <c:pt idx="157">
                  <c:v>21.2604827862567</c:v>
                </c:pt>
                <c:pt idx="158">
                  <c:v>21.0463726645254</c:v>
                </c:pt>
                <c:pt idx="159">
                  <c:v>20.8319874840973</c:v>
                </c:pt>
                <c:pt idx="160">
                  <c:v>20.6173340375438</c:v>
                </c:pt>
                <c:pt idx="161">
                  <c:v>20.4024198542688</c:v>
                </c:pt>
                <c:pt idx="162">
                  <c:v>20.1872531895798</c:v>
                </c:pt>
                <c:pt idx="163">
                  <c:v>19.971843008495</c:v>
                </c:pt>
                <c:pt idx="164">
                  <c:v>19.7561989641703</c:v>
                </c:pt>
                <c:pt idx="165">
                  <c:v>19.5403313708785</c:v>
                </c:pt>
                <c:pt idx="166">
                  <c:v>19.3242511715375</c:v>
                </c:pt>
                <c:pt idx="167">
                  <c:v>19.1079698998446</c:v>
                </c:pt>
                <c:pt idx="168">
                  <c:v>18.8914996371371</c:v>
                </c:pt>
                <c:pt idx="169">
                  <c:v>18.6748529641668</c:v>
                </c:pt>
                <c:pt idx="170">
                  <c:v>18.4580429080366</c:v>
                </c:pt>
                <c:pt idx="171">
                  <c:v>18.2410828846175</c:v>
                </c:pt>
                <c:pt idx="172">
                  <c:v>18.0239866368171</c:v>
                </c:pt>
                <c:pt idx="173">
                  <c:v>17.8067681691342</c:v>
                </c:pt>
                <c:pt idx="174">
                  <c:v>17.5894416789803</c:v>
                </c:pt>
                <c:pt idx="175">
                  <c:v>17.3720214852982</c:v>
                </c:pt>
                <c:pt idx="176">
                  <c:v>17.154521955043</c:v>
                </c:pt>
                <c:pt idx="177">
                  <c:v>16.9369574281218</c:v>
                </c:pt>
                <c:pt idx="178">
                  <c:v>16.71934214141</c:v>
                </c:pt>
                <c:pt idx="179">
                  <c:v>16.5016901524734</c:v>
                </c:pt>
                <c:pt idx="180">
                  <c:v>16.2840152636273</c:v>
                </c:pt>
                <c:pt idx="181">
                  <c:v>16.0663309469576</c:v>
                </c:pt>
                <c:pt idx="182">
                  <c:v>15.8486502709129</c:v>
                </c:pt>
                <c:pt idx="183">
                  <c:v>15.630985829048</c:v>
                </c:pt>
                <c:pt idx="184">
                  <c:v>15.41334967147</c:v>
                </c:pt>
                <c:pt idx="185">
                  <c:v>15.1957532394936</c:v>
                </c:pt>
                <c:pt idx="186">
                  <c:v>14.9782073039637</c:v>
                </c:pt>
                <c:pt idx="187">
                  <c:v>14.7607219076541</c:v>
                </c:pt>
                <c:pt idx="188">
                  <c:v>14.5433063120864</c:v>
                </c:pt>
                <c:pt idx="189">
                  <c:v>14.3259689490578</c:v>
                </c:pt>
                <c:pt idx="190">
                  <c:v>14.1087173771013</c:v>
                </c:pt>
                <c:pt idx="191">
                  <c:v>13.8915582430356</c:v>
                </c:pt>
                <c:pt idx="192">
                  <c:v>13.6744972487034</c:v>
                </c:pt>
                <c:pt idx="193">
                  <c:v>13.4575391229311</c:v>
                </c:pt>
                <c:pt idx="194">
                  <c:v>13.2406875986868</c:v>
                </c:pt>
                <c:pt idx="195">
                  <c:v>13.0239453953558</c:v>
                </c:pt>
                <c:pt idx="196">
                  <c:v>12.8073142060063</c:v>
                </c:pt>
                <c:pt idx="197">
                  <c:v>12.5907946894668</c:v>
                </c:pt>
                <c:pt idx="198">
                  <c:v>12.3743864670027</c:v>
                </c:pt>
                <c:pt idx="199">
                  <c:v>12.1580881233419</c:v>
                </c:pt>
                <c:pt idx="200">
                  <c:v>11.9418972117744</c:v>
                </c:pt>
                <c:pt idx="201">
                  <c:v>11.7258102630265</c:v>
                </c:pt>
                <c:pt idx="202">
                  <c:v>11.5098227975992</c:v>
                </c:pt>
                <c:pt idx="203">
                  <c:v>11.2939293412505</c:v>
                </c:pt>
                <c:pt idx="204">
                  <c:v>11.0781234432944</c:v>
                </c:pt>
                <c:pt idx="205">
                  <c:v>10.8623976973993</c:v>
                </c:pt>
                <c:pt idx="206">
                  <c:v>10.6467437645685</c:v>
                </c:pt>
                <c:pt idx="207">
                  <c:v>10.4311523980041</c:v>
                </c:pt>
                <c:pt idx="208">
                  <c:v>10.2156134695671</c:v>
                </c:pt>
                <c:pt idx="209">
                  <c:v>10.0001159975673</c:v>
                </c:pt>
                <c:pt idx="210">
                  <c:v>9.78464817564104</c:v>
                </c:pt>
                <c:pt idx="211">
                  <c:v>9.56919740249709</c:v>
                </c:pt>
                <c:pt idx="212">
                  <c:v>9.35375031233978</c:v>
                </c:pt>
                <c:pt idx="213">
                  <c:v>9.13829280580436</c:v>
                </c:pt>
                <c:pt idx="214">
                  <c:v>8.92281008127177</c:v>
                </c:pt>
                <c:pt idx="215">
                  <c:v>8.70728666645496</c:v>
                </c:pt>
                <c:pt idx="216">
                  <c:v>8.49170645018377</c:v>
                </c:pt>
                <c:pt idx="217">
                  <c:v>8.27605271433807</c:v>
                </c:pt>
                <c:pt idx="218">
                  <c:v>8.06030816591349</c:v>
                </c:pt>
                <c:pt idx="219">
                  <c:v>7.8444549692267</c:v>
                </c:pt>
                <c:pt idx="220">
                  <c:v>7.62847477829564</c:v>
                </c:pt>
                <c:pt idx="221">
                  <c:v>7.41234876945366</c:v>
                </c:pt>
                <c:pt idx="222">
                  <c:v>7.19605767428136</c:v>
                </c:pt>
                <c:pt idx="223">
                  <c:v>6.97958181295773</c:v>
                </c:pt>
                <c:pt idx="224">
                  <c:v>6.76290112815492</c:v>
                </c:pt>
                <c:pt idx="225">
                  <c:v>6.54599521961496</c:v>
                </c:pt>
                <c:pt idx="226">
                  <c:v>6.32884337956377</c:v>
                </c:pt>
                <c:pt idx="227">
                  <c:v>6.11142462912784</c:v>
                </c:pt>
                <c:pt idx="228">
                  <c:v>5.89371775593099</c:v>
                </c:pt>
                <c:pt idx="229">
                  <c:v>5.67570135305331</c:v>
                </c:pt>
                <c:pt idx="230">
                  <c:v>5.45735385954117</c:v>
                </c:pt>
                <c:pt idx="231">
                  <c:v>5.23865360265725</c:v>
                </c:pt>
                <c:pt idx="232">
                  <c:v>5.01957884205648</c:v>
                </c:pt>
                <c:pt idx="233">
                  <c:v>4.80010781607484</c:v>
                </c:pt>
                <c:pt idx="234">
                  <c:v>4.58021879030226</c:v>
                </c:pt>
                <c:pt idx="235">
                  <c:v>4.35989010860682</c:v>
                </c:pt>
                <c:pt idx="236">
                  <c:v>4.13910024675812</c:v>
                </c:pt>
                <c:pt idx="237">
                  <c:v>3.9178278687833</c:v>
                </c:pt>
                <c:pt idx="238">
                  <c:v>3.69605188616383</c:v>
                </c:pt>
                <c:pt idx="239">
                  <c:v>3.47375151995953</c:v>
                </c:pt>
                <c:pt idx="240">
                  <c:v>3.25090636591398</c:v>
                </c:pt>
                <c:pt idx="241">
                  <c:v>3.02749646256633</c:v>
                </c:pt>
                <c:pt idx="242">
                  <c:v>2.80350236235403</c:v>
                </c:pt>
                <c:pt idx="243">
                  <c:v>2.57890520565476</c:v>
                </c:pt>
                <c:pt idx="244">
                  <c:v>2.35368679767025</c:v>
                </c:pt>
                <c:pt idx="245">
                  <c:v>2.12782968800907</c:v>
                </c:pt>
                <c:pt idx="246">
                  <c:v>1.90131725277483</c:v>
                </c:pt>
                <c:pt idx="247">
                  <c:v>1.67413377891574</c:v>
                </c:pt>
                <c:pt idx="248">
                  <c:v>1.44626455053557</c:v>
                </c:pt>
                <c:pt idx="249">
                  <c:v>1.21769593681044</c:v>
                </c:pt>
                <c:pt idx="250">
                  <c:v>0.988415481099161</c:v>
                </c:pt>
                <c:pt idx="251">
                  <c:v>0.758411990777652</c:v>
                </c:pt>
                <c:pt idx="252">
                  <c:v>0.527675627269438</c:v>
                </c:pt>
                <c:pt idx="253">
                  <c:v>0.296197995690329</c:v>
                </c:pt>
                <c:pt idx="254">
                  <c:v>0.0639722334710772</c:v>
                </c:pt>
                <c:pt idx="255">
                  <c:v>-0.169006902728458</c:v>
                </c:pt>
                <c:pt idx="256">
                  <c:v>-0.402742952545745</c:v>
                </c:pt>
                <c:pt idx="257">
                  <c:v>-0.637237670656489</c:v>
                </c:pt>
                <c:pt idx="258">
                  <c:v>-0.872490949534345</c:v>
                </c:pt>
                <c:pt idx="259">
                  <c:v>-1.10850074706594</c:v>
                </c:pt>
                <c:pt idx="260">
                  <c:v>-1.34526301986903</c:v>
                </c:pt>
                <c:pt idx="261">
                  <c:v>-1.58277166317496</c:v>
                </c:pt>
                <c:pt idx="262">
                  <c:v>-1.82101845813036</c:v>
                </c:pt>
                <c:pt idx="263">
                  <c:v>-2.05999302736103</c:v>
                </c:pt>
                <c:pt idx="264">
                  <c:v>-2.29968279961359</c:v>
                </c:pt>
                <c:pt idx="265">
                  <c:v>-2.54007298425323</c:v>
                </c:pt>
                <c:pt idx="266">
                  <c:v>-2.78114655634177</c:v>
                </c:pt>
                <c:pt idx="267">
                  <c:v>-3.02288425295945</c:v>
                </c:pt>
                <c:pt idx="268">
                  <c:v>-3.26526458135246</c:v>
                </c:pt>
                <c:pt idx="269">
                  <c:v>-3.50826383940265</c:v>
                </c:pt>
                <c:pt idx="270">
                  <c:v>-3.75185614881167</c:v>
                </c:pt>
                <c:pt idx="271">
                  <c:v>-3.99601350128205</c:v>
                </c:pt>
                <c:pt idx="272">
                  <c:v>-4.24070581785598</c:v>
                </c:pt>
                <c:pt idx="273">
                  <c:v>-4.48590102144301</c:v>
                </c:pt>
                <c:pt idx="274">
                  <c:v>-4.73156512243423</c:v>
                </c:pt>
                <c:pt idx="275">
                  <c:v>-4.97766231715993</c:v>
                </c:pt>
                <c:pt idx="276">
                  <c:v>-5.22415509880563</c:v>
                </c:pt>
                <c:pt idx="277">
                  <c:v>-5.47100438026229</c:v>
                </c:pt>
                <c:pt idx="278">
                  <c:v>-5.71816962824482</c:v>
                </c:pt>
                <c:pt idx="279">
                  <c:v>-5.96560900787931</c:v>
                </c:pt>
                <c:pt idx="280">
                  <c:v>-6.21327953683328</c:v>
                </c:pt>
                <c:pt idx="281">
                  <c:v>-6.46113724794209</c:v>
                </c:pt>
                <c:pt idx="282">
                  <c:v>-6.70913735918207</c:v>
                </c:pt>
                <c:pt idx="283">
                  <c:v>-6.95723444974185</c:v>
                </c:pt>
                <c:pt idx="284">
                  <c:v>-7.20538264087023</c:v>
                </c:pt>
                <c:pt idx="285">
                  <c:v>-7.45353578011467</c:v>
                </c:pt>
                <c:pt idx="286">
                  <c:v>-7.70164762751829</c:v>
                </c:pt>
                <c:pt idx="287">
                  <c:v>-7.94967204232157</c:v>
                </c:pt>
                <c:pt idx="288">
                  <c:v>-8.19756316870533</c:v>
                </c:pt>
                <c:pt idx="289">
                  <c:v>-8.44527561912541</c:v>
                </c:pt>
                <c:pt idx="290">
                  <c:v>-8.6927646538196</c:v>
                </c:pt>
                <c:pt idx="291">
                  <c:v>-8.93998635511942</c:v>
                </c:pt>
                <c:pt idx="292">
                  <c:v>-9.18689779526388</c:v>
                </c:pt>
                <c:pt idx="293">
                  <c:v>-9.43345719649828</c:v>
                </c:pt>
                <c:pt idx="294">
                  <c:v>-9.67962408233642</c:v>
                </c:pt>
                <c:pt idx="295">
                  <c:v>-9.92535941897774</c:v>
                </c:pt>
                <c:pt idx="296">
                  <c:v>-10.1706257459914</c:v>
                </c:pt>
                <c:pt idx="297">
                  <c:v>-10.4153872955083</c:v>
                </c:pt>
                <c:pt idx="298">
                  <c:v>-10.6596100993017</c:v>
                </c:pt>
                <c:pt idx="299">
                  <c:v>-10.9032620832743</c:v>
                </c:pt>
                <c:pt idx="300">
                  <c:v>-11.1463131490144</c:v>
                </c:pt>
                <c:pt idx="301">
                  <c:v>-11.3887352422236</c:v>
                </c:pt>
                <c:pt idx="302">
                  <c:v>-11.6305024079591</c:v>
                </c:pt>
                <c:pt idx="303">
                  <c:v>-11.8715908327687</c:v>
                </c:pt>
                <c:pt idx="304">
                  <c:v>-12.111978873919</c:v>
                </c:pt>
                <c:pt idx="305">
                  <c:v>-12.3516470760448</c:v>
                </c:pt>
                <c:pt idx="306">
                  <c:v>-12.5905781756495</c:v>
                </c:pt>
                <c:pt idx="307">
                  <c:v>-12.8287570939911</c:v>
                </c:pt>
                <c:pt idx="308">
                  <c:v>-13.0661709189713</c:v>
                </c:pt>
                <c:pt idx="309">
                  <c:v>-13.3028088767212</c:v>
                </c:pt>
                <c:pt idx="310">
                  <c:v>-13.5386622936415</c:v>
                </c:pt>
                <c:pt idx="311">
                  <c:v>-13.7737245496988</c:v>
                </c:pt>
                <c:pt idx="312">
                  <c:v>-14.007991023822</c:v>
                </c:pt>
                <c:pt idx="313">
                  <c:v>-14.2414590322621</c:v>
                </c:pt>
                <c:pt idx="314">
                  <c:v>-14.4741277607942</c:v>
                </c:pt>
                <c:pt idx="315">
                  <c:v>-14.7059981916388</c:v>
                </c:pt>
                <c:pt idx="316">
                  <c:v>-14.9370730259726</c:v>
                </c:pt>
                <c:pt idx="317">
                  <c:v>-15.1673566028798</c:v>
                </c:pt>
                <c:pt idx="318">
                  <c:v>-15.3968548155661</c:v>
                </c:pt>
                <c:pt idx="319">
                  <c:v>-15.6255750256288</c:v>
                </c:pt>
                <c:pt idx="320">
                  <c:v>-15.8535259761283</c:v>
                </c:pt>
                <c:pt idx="321">
                  <c:v>-16.0807177041706</c:v>
                </c:pt>
                <c:pt idx="322">
                  <c:v>-16.3071614536524</c:v>
                </c:pt>
                <c:pt idx="323">
                  <c:v>-16.5328695887759</c:v>
                </c:pt>
                <c:pt idx="324">
                  <c:v>-16.7578555088808</c:v>
                </c:pt>
                <c:pt idx="325">
                  <c:v>-16.982133565092</c:v>
                </c:pt>
                <c:pt idx="326">
                  <c:v>-17.2057189792201</c:v>
                </c:pt>
                <c:pt idx="327">
                  <c:v>-17.4286277653034</c:v>
                </c:pt>
                <c:pt idx="328">
                  <c:v>-17.6508766541241</c:v>
                </c:pt>
                <c:pt idx="329">
                  <c:v>-17.8724830209793</c:v>
                </c:pt>
                <c:pt idx="330">
                  <c:v>-18.093464816942</c:v>
                </c:pt>
                <c:pt idx="331">
                  <c:v>-18.3138405037967</c:v>
                </c:pt>
                <c:pt idx="332">
                  <c:v>-18.5336289927937</c:v>
                </c:pt>
                <c:pt idx="333">
                  <c:v>-18.7528495873247</c:v>
                </c:pt>
                <c:pt idx="334">
                  <c:v>-18.9715219295867</c:v>
                </c:pt>
                <c:pt idx="335">
                  <c:v>-19.1896659512642</c:v>
                </c:pt>
                <c:pt idx="336">
                  <c:v>-19.407301828234</c:v>
                </c:pt>
                <c:pt idx="337">
                  <c:v>-19.6244499392663</c:v>
                </c:pt>
                <c:pt idx="338">
                  <c:v>-19.8411308286741</c:v>
                </c:pt>
                <c:pt idx="339">
                  <c:v>-20.0573651728413</c:v>
                </c:pt>
                <c:pt idx="340">
                  <c:v>-20.2731737505421</c:v>
                </c:pt>
                <c:pt idx="341">
                  <c:v>-20.4885774169514</c:v>
                </c:pt>
                <c:pt idx="342">
                  <c:v>-20.7035970812318</c:v>
                </c:pt>
                <c:pt idx="343">
                  <c:v>-20.918253687572</c:v>
                </c:pt>
                <c:pt idx="344">
                  <c:v>-21.1325681995483</c:v>
                </c:pt>
                <c:pt idx="345">
                  <c:v>-21.3465615876707</c:v>
                </c:pt>
                <c:pt idx="346">
                  <c:v>-21.560254819973</c:v>
                </c:pt>
                <c:pt idx="347">
                  <c:v>-21.7736688555054</c:v>
                </c:pt>
                <c:pt idx="348">
                  <c:v>-21.9868246405859</c:v>
                </c:pt>
                <c:pt idx="349">
                  <c:v>-22.1997431076667</c:v>
                </c:pt>
                <c:pt idx="350">
                  <c:v>-22.4124451766764</c:v>
                </c:pt>
                <c:pt idx="351">
                  <c:v>-22.6249517586961</c:v>
                </c:pt>
                <c:pt idx="352">
                  <c:v>-22.8372837618365</c:v>
                </c:pt>
                <c:pt idx="353">
                  <c:v>-23.0494620991797</c:v>
                </c:pt>
                <c:pt idx="354">
                  <c:v>-23.2615076986615</c:v>
                </c:pt>
                <c:pt idx="355">
                  <c:v>-23.4734415147665</c:v>
                </c:pt>
                <c:pt idx="356">
                  <c:v>-23.6852845419179</c:v>
                </c:pt>
                <c:pt idx="357">
                  <c:v>-23.8970578294459</c:v>
                </c:pt>
                <c:pt idx="358">
                  <c:v>-24.1087824980241</c:v>
                </c:pt>
                <c:pt idx="359">
                  <c:v>-24.3204797574663</c:v>
                </c:pt>
                <c:pt idx="360">
                  <c:v>-24.5321709257831</c:v>
                </c:pt>
                <c:pt idx="361">
                  <c:v>-24.7438774493976</c:v>
                </c:pt>
                <c:pt idx="362">
                  <c:v>-24.9556209244253</c:v>
                </c:pt>
                <c:pt idx="363">
                  <c:v>-25.1674231189285</c:v>
                </c:pt>
                <c:pt idx="364">
                  <c:v>-25.3793059960514</c:v>
                </c:pt>
                <c:pt idx="365">
                  <c:v>-25.5912917379544</c:v>
                </c:pt>
                <c:pt idx="366">
                  <c:v>-25.8034027704579</c:v>
                </c:pt>
                <c:pt idx="367">
                  <c:v>-26.0156617883143</c:v>
                </c:pt>
                <c:pt idx="368">
                  <c:v>-26.2280917810241</c:v>
                </c:pt>
                <c:pt idx="369">
                  <c:v>-26.4407160591131</c:v>
                </c:pt>
                <c:pt idx="370">
                  <c:v>-26.6535582807883</c:v>
                </c:pt>
                <c:pt idx="371">
                  <c:v>-26.8666424788869</c:v>
                </c:pt>
                <c:pt idx="372">
                  <c:v>-27.0799930880332</c:v>
                </c:pt>
                <c:pt idx="373">
                  <c:v>-27.2936349719154</c:v>
                </c:pt>
                <c:pt idx="374">
                  <c:v>-27.5075934505919</c:v>
                </c:pt>
                <c:pt idx="375">
                  <c:v>-27.7218943277317</c:v>
                </c:pt>
                <c:pt idx="376">
                  <c:v>-27.9365639176922</c:v>
                </c:pt>
                <c:pt idx="377">
                  <c:v>-28.1516290723309</c:v>
                </c:pt>
                <c:pt idx="378">
                  <c:v>-28.3671172074446</c:v>
                </c:pt>
                <c:pt idx="379">
                  <c:v>-28.5830563287219</c:v>
                </c:pt>
                <c:pt idx="380">
                  <c:v>-28.79947505709</c:v>
                </c:pt>
                <c:pt idx="381">
                  <c:v>-29.0164026533318</c:v>
                </c:pt>
                <c:pt idx="382">
                  <c:v>-29.2338690418391</c:v>
                </c:pt>
                <c:pt idx="383">
                  <c:v>-29.451904833363</c:v>
                </c:pt>
                <c:pt idx="384">
                  <c:v>-29.6705413466156</c:v>
                </c:pt>
                <c:pt idx="385">
                  <c:v>-29.8898106285677</c:v>
                </c:pt>
                <c:pt idx="386">
                  <c:v>-30.1097454732795</c:v>
                </c:pt>
                <c:pt idx="387">
                  <c:v>-30.3303794390956</c:v>
                </c:pt>
                <c:pt idx="388">
                  <c:v>-30.5517468640272</c:v>
                </c:pt>
                <c:pt idx="389">
                  <c:v>-30.7738828791352</c:v>
                </c:pt>
                <c:pt idx="390">
                  <c:v>-30.996823419723</c:v>
                </c:pt>
                <c:pt idx="391">
                  <c:v>-31.2206052341409</c:v>
                </c:pt>
                <c:pt idx="392">
                  <c:v>-31.445265889998</c:v>
                </c:pt>
                <c:pt idx="393">
                  <c:v>-31.670843777572</c:v>
                </c:pt>
                <c:pt idx="394">
                  <c:v>-31.897378110204</c:v>
                </c:pt>
                <c:pt idx="395">
                  <c:v>-32.1249089214627</c:v>
                </c:pt>
                <c:pt idx="396">
                  <c:v>-32.3534770588614</c:v>
                </c:pt>
                <c:pt idx="397">
                  <c:v>-32.5831241739089</c:v>
                </c:pt>
                <c:pt idx="398">
                  <c:v>-32.813892708283</c:v>
                </c:pt>
                <c:pt idx="399">
                  <c:v>-33.0458258759127</c:v>
                </c:pt>
                <c:pt idx="400">
                  <c:v>-33.2789676407675</c:v>
                </c:pt>
                <c:pt idx="401">
                  <c:v>-33.513362690158</c:v>
                </c:pt>
                <c:pt idx="402">
                  <c:v>-33.7490564033629</c:v>
                </c:pt>
                <c:pt idx="403">
                  <c:v>-33.9860948154159</c:v>
                </c:pt>
                <c:pt idx="404">
                  <c:v>-34.2245245758978</c:v>
                </c:pt>
                <c:pt idx="405">
                  <c:v>-34.4643929026043</c:v>
                </c:pt>
                <c:pt idx="406">
                  <c:v>-34.7057475299805</c:v>
                </c:pt>
                <c:pt idx="407">
                  <c:v>-34.9486366522424</c:v>
                </c:pt>
                <c:pt idx="408">
                  <c:v>-35.1931088611333</c:v>
                </c:pt>
                <c:pt idx="409">
                  <c:v>-35.4392130782971</c:v>
                </c:pt>
                <c:pt idx="410">
                  <c:v>-35.6869984822904</c:v>
                </c:pt>
                <c:pt idx="411">
                  <c:v>-35.9365144302861</c:v>
                </c:pt>
                <c:pt idx="412">
                  <c:v>-36.1878103745736</c:v>
                </c:pt>
                <c:pt idx="413">
                  <c:v>-36.4409357739949</c:v>
                </c:pt>
                <c:pt idx="414">
                  <c:v>-36.6959400005104</c:v>
                </c:pt>
                <c:pt idx="415">
                  <c:v>-36.9528722411281</c:v>
                </c:pt>
                <c:pt idx="416">
                  <c:v>-37.2117813954861</c:v>
                </c:pt>
                <c:pt idx="417">
                  <c:v>-37.4727159694175</c:v>
                </c:pt>
                <c:pt idx="418">
                  <c:v>-37.7357239648852</c:v>
                </c:pt>
                <c:pt idx="419">
                  <c:v>-38.0008527667121</c:v>
                </c:pt>
                <c:pt idx="420">
                  <c:v>-38.268149026584</c:v>
                </c:pt>
                <c:pt idx="421">
                  <c:v>-38.5376585448385</c:v>
                </c:pt>
                <c:pt idx="422">
                  <c:v>-38.8094261505999</c:v>
                </c:pt>
                <c:pt idx="423">
                  <c:v>-39.083495580843</c:v>
                </c:pt>
                <c:pt idx="424">
                  <c:v>-39.359909359011</c:v>
                </c:pt>
                <c:pt idx="425">
                  <c:v>-39.6387086738241</c:v>
                </c:pt>
                <c:pt idx="426">
                  <c:v>-39.9199332589376</c:v>
                </c:pt>
                <c:pt idx="427">
                  <c:v>-40.2036212741198</c:v>
                </c:pt>
                <c:pt idx="428">
                  <c:v>-40.4898091886121</c:v>
                </c:pt>
                <c:pt idx="429">
                  <c:v>-40.7785316673391</c:v>
                </c:pt>
                <c:pt idx="430">
                  <c:v>-41.0698214606126</c:v>
                </c:pt>
                <c:pt idx="431">
                  <c:v>-41.363709297955</c:v>
                </c:pt>
                <c:pt idx="432">
                  <c:v>-41.6602237866355</c:v>
                </c:pt>
                <c:pt idx="433">
                  <c:v>-41.9593913154743</c:v>
                </c:pt>
                <c:pt idx="434">
                  <c:v>-42.2612359644246</c:v>
                </c:pt>
                <c:pt idx="435">
                  <c:v>-42.5657794203878</c:v>
                </c:pt>
                <c:pt idx="436">
                  <c:v>-42.8730408996652</c:v>
                </c:pt>
                <c:pt idx="437">
                  <c:v>-43.1830370773825</c:v>
                </c:pt>
                <c:pt idx="438">
                  <c:v>-43.4957820241589</c:v>
                </c:pt>
                <c:pt idx="439">
                  <c:v>-43.8112871502309</c:v>
                </c:pt>
                <c:pt idx="440">
                  <c:v>-44.1295611571653</c:v>
                </c:pt>
                <c:pt idx="441">
                  <c:v>-44.4506099972368</c:v>
                </c:pt>
                <c:pt idx="442">
                  <c:v>-44.774436840477</c:v>
                </c:pt>
                <c:pt idx="443">
                  <c:v>-45.1010420493414</c:v>
                </c:pt>
                <c:pt idx="444">
                  <c:v>-45.4304231608869</c:v>
                </c:pt>
                <c:pt idx="445">
                  <c:v>-45.7625748763033</c:v>
                </c:pt>
                <c:pt idx="446">
                  <c:v>-46.0974890575956</c:v>
                </c:pt>
                <c:pt idx="447">
                  <c:v>-46.4351547311865</c:v>
                </c:pt>
                <c:pt idx="448">
                  <c:v>-46.7755580981759</c:v>
                </c:pt>
                <c:pt idx="449">
                  <c:v>-47.1186825509837</c:v>
                </c:pt>
                <c:pt idx="450">
                  <c:v>-47.4645086960894</c:v>
                </c:pt>
                <c:pt idx="451">
                  <c:v>-47.8130143825882</c:v>
                </c:pt>
                <c:pt idx="452">
                  <c:v>-48.1641747362892</c:v>
                </c:pt>
                <c:pt idx="453">
                  <c:v>-48.5179621991036</c:v>
                </c:pt>
                <c:pt idx="454">
                  <c:v>-48.8743465734932</c:v>
                </c:pt>
                <c:pt idx="455">
                  <c:v>-49.2332950717797</c:v>
                </c:pt>
                <c:pt idx="456">
                  <c:v>-49.5947723701553</c:v>
                </c:pt>
                <c:pt idx="457">
                  <c:v>-49.9587406672714</c:v>
                </c:pt>
                <c:pt idx="458">
                  <c:v>-50.3251597473191</c:v>
                </c:pt>
                <c:pt idx="459">
                  <c:v>-50.6939870475653</c:v>
                </c:pt>
                <c:pt idx="460">
                  <c:v>-51.0651777303349</c:v>
                </c:pt>
                <c:pt idx="461">
                  <c:v>-51.4386847594759</c:v>
                </c:pt>
                <c:pt idx="462">
                  <c:v>-51.8144589813647</c:v>
                </c:pt>
                <c:pt idx="463">
                  <c:v>-52.1924492105403</c:v>
                </c:pt>
                <c:pt idx="464">
                  <c:v>-52.5726023200666</c:v>
                </c:pt>
                <c:pt idx="465">
                  <c:v>-52.9548633367311</c:v>
                </c:pt>
                <c:pt idx="466">
                  <c:v>-53.3391755411845</c:v>
                </c:pt>
                <c:pt idx="467">
                  <c:v>-53.7254805731138</c:v>
                </c:pt>
                <c:pt idx="468">
                  <c:v>-54.1137185415122</c:v>
                </c:pt>
                <c:pt idx="469">
                  <c:v>-54.5038281400845</c:v>
                </c:pt>
                <c:pt idx="470">
                  <c:v>-54.8957467677679</c:v>
                </c:pt>
                <c:pt idx="471">
                  <c:v>-55.2894106543072</c:v>
                </c:pt>
                <c:pt idx="472">
                  <c:v>-55.6847549907495</c:v>
                </c:pt>
                <c:pt idx="473">
                  <c:v>-56.08171406466</c:v>
                </c:pt>
                <c:pt idx="474">
                  <c:v>-56.4802213997798</c:v>
                </c:pt>
                <c:pt idx="475">
                  <c:v>-56.8802098997701</c:v>
                </c:pt>
                <c:pt idx="476">
                  <c:v>-57.2816119956013</c:v>
                </c:pt>
                <c:pt idx="477">
                  <c:v>-57.6843597960669</c:v>
                </c:pt>
                <c:pt idx="478">
                  <c:v>-58.0883852408183</c:v>
                </c:pt>
                <c:pt idx="479">
                  <c:v>-58.4936202552463</c:v>
                </c:pt>
                <c:pt idx="480">
                  <c:v>-58.8999969064578</c:v>
                </c:pt>
                <c:pt idx="481">
                  <c:v>-59.3074475595438</c:v>
                </c:pt>
                <c:pt idx="482">
                  <c:v>-59.7159050332758</c:v>
                </c:pt>
                <c:pt idx="483">
                  <c:v>-60.1253027543357</c:v>
                </c:pt>
                <c:pt idx="484">
                  <c:v>-60.5355749091477</c:v>
                </c:pt>
                <c:pt idx="485">
                  <c:v>-60.9466565923798</c:v>
                </c:pt>
                <c:pt idx="486">
                  <c:v>-61.358483951171</c:v>
                </c:pt>
                <c:pt idx="487">
                  <c:v>-61.7709943241671</c:v>
                </c:pt>
                <c:pt idx="488">
                  <c:v>-62.1841263744684</c:v>
                </c:pt>
                <c:pt idx="489">
                  <c:v>-62.5978202156467</c:v>
                </c:pt>
                <c:pt idx="490">
                  <c:v>-63.0120175300354</c:v>
                </c:pt>
                <c:pt idx="491">
                  <c:v>-63.426661678576</c:v>
                </c:pt>
                <c:pt idx="492">
                  <c:v>-63.841697801577</c:v>
                </c:pt>
                <c:pt idx="493">
                  <c:v>-64.2570729098345</c:v>
                </c:pt>
                <c:pt idx="494">
                  <c:v>-64.6727359656581</c:v>
                </c:pt>
                <c:pt idx="495">
                  <c:v>-65.0886379534483</c:v>
                </c:pt>
                <c:pt idx="496">
                  <c:v>-65.5047319395789</c:v>
                </c:pt>
                <c:pt idx="497">
                  <c:v>-65.9209731214386</c:v>
                </c:pt>
                <c:pt idx="498">
                  <c:v>-66.3373188656026</c:v>
                </c:pt>
                <c:pt idx="499">
                  <c:v>-66.7537287351967</c:v>
                </c:pt>
                <c:pt idx="500">
                  <c:v>-67.1701645066286</c:v>
                </c:pt>
                <c:pt idx="501">
                  <c:v>-67.5865901759454</c:v>
                </c:pt>
                <c:pt idx="502">
                  <c:v>-68.0029719551715</c:v>
                </c:pt>
                <c:pt idx="503">
                  <c:v>-68.4192782590536</c:v>
                </c:pt>
                <c:pt idx="504">
                  <c:v>-68.8354796827184</c:v>
                </c:pt>
                <c:pt idx="505">
                  <c:v>-69.2515489707986</c:v>
                </c:pt>
                <c:pt idx="506">
                  <c:v>-69.6674609786443</c:v>
                </c:pt>
                <c:pt idx="507">
                  <c:v>-70.083192626268</c:v>
                </c:pt>
                <c:pt idx="508">
                  <c:v>-70.4987228457082</c:v>
                </c:pt>
                <c:pt idx="509">
                  <c:v>-70.9140325225123</c:v>
                </c:pt>
                <c:pt idx="510">
                  <c:v>-71.329104432051</c:v>
                </c:pt>
                <c:pt idx="511">
                  <c:v>-71.7439231713781</c:v>
                </c:pt>
                <c:pt idx="512">
                  <c:v>-72.1584750873411</c:v>
                </c:pt>
                <c:pt idx="513">
                  <c:v>-72.5727482016341</c:v>
                </c:pt>
                <c:pt idx="514">
                  <c:v>-72.9867321334625</c:v>
                </c:pt>
                <c:pt idx="515">
                  <c:v>-73.4004180204582</c:v>
                </c:pt>
                <c:pt idx="516">
                  <c:v>-73.813798438457</c:v>
                </c:pt>
                <c:pt idx="517">
                  <c:v>-74.2268673207073</c:v>
                </c:pt>
                <c:pt idx="518">
                  <c:v>-74.6396198770433</c:v>
                </c:pt>
                <c:pt idx="519">
                  <c:v>-75.0520525135088</c:v>
                </c:pt>
                <c:pt idx="520">
                  <c:v>-75.4641627528813</c:v>
                </c:pt>
                <c:pt idx="521">
                  <c:v>-75.8759491564907</c:v>
                </c:pt>
                <c:pt idx="522">
                  <c:v>-76.2874112476939</c:v>
                </c:pt>
                <c:pt idx="523">
                  <c:v>-76.6985494373116</c:v>
                </c:pt>
                <c:pt idx="524">
                  <c:v>-77.1093649512997</c:v>
                </c:pt>
                <c:pt idx="525">
                  <c:v>-77.5198597608782</c:v>
                </c:pt>
                <c:pt idx="526">
                  <c:v>-77.9300365153052</c:v>
                </c:pt>
                <c:pt idx="527">
                  <c:v>-78.3398984774459</c:v>
                </c:pt>
                <c:pt idx="528">
                  <c:v>-78.7494494622492</c:v>
                </c:pt>
                <c:pt idx="529">
                  <c:v>-79.1586937782125</c:v>
                </c:pt>
                <c:pt idx="530">
                  <c:v>-79.5676361718867</c:v>
                </c:pt>
                <c:pt idx="531">
                  <c:v>-79.9762817754457</c:v>
                </c:pt>
                <c:pt idx="532">
                  <c:v>-80.384636057316</c:v>
                </c:pt>
                <c:pt idx="533">
                  <c:v>-80.7927047758504</c:v>
                </c:pt>
                <c:pt idx="534">
                  <c:v>-81.2004939359966</c:v>
                </c:pt>
                <c:pt idx="535">
                  <c:v>-81.6080097489092</c:v>
                </c:pt>
                <c:pt idx="536">
                  <c:v>-82.0152585944261</c:v>
                </c:pt>
                <c:pt idx="537">
                  <c:v>-82.4222469863312</c:v>
                </c:pt>
                <c:pt idx="538">
                  <c:v>-82.8289815403022</c:v>
                </c:pt>
                <c:pt idx="539">
                  <c:v>-83.2354689444474</c:v>
                </c:pt>
                <c:pt idx="540">
                  <c:v>-83.6417159323179</c:v>
                </c:pt>
                <c:pt idx="541">
                  <c:v>-84.0477292582855</c:v>
                </c:pt>
              </c:numCache>
            </c:numRef>
          </c:yVal>
          <c:smooth val="1"/>
        </c:ser>
        <c:dLbls>
          <c:showLegendKey val="0"/>
          <c:showVal val="0"/>
          <c:showCatName val="0"/>
          <c:showSerName val="0"/>
          <c:showPercent val="0"/>
          <c:showBubbleSize val="0"/>
        </c:dLbls>
        <c:axId val="175885696"/>
        <c:axId val="175887872"/>
      </c:scatterChart>
      <c:scatterChart>
        <c:scatterStyle val="smooth"/>
        <c:varyColors val="0"/>
        <c:ser>
          <c:idx val="1"/>
          <c:order val="1"/>
          <c:tx>
            <c:strRef>
              <c:f>"Phase (deg)"</c:f>
              <c:strCache>
                <c:ptCount val="1"/>
                <c:pt idx="0">
                  <c:v>Phase (deg)</c:v>
                </c:pt>
              </c:strCache>
            </c:strRef>
          </c:tx>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Loop_Modeling!$BH$19:$BH$560</c:f>
              <c:numCache>
                <c:formatCode>General</c:formatCode>
                <c:ptCount val="542"/>
                <c:pt idx="0">
                  <c:v>89.6673750000143</c:v>
                </c:pt>
                <c:pt idx="1">
                  <c:v>89.6596295140257</c:v>
                </c:pt>
                <c:pt idx="2">
                  <c:v>89.6517037801716</c:v>
                </c:pt>
                <c:pt idx="3">
                  <c:v>89.6435936119232</c:v>
                </c:pt>
                <c:pt idx="4">
                  <c:v>89.6352947260911</c:v>
                </c:pt>
                <c:pt idx="5">
                  <c:v>89.6268027406343</c:v>
                </c:pt>
                <c:pt idx="6">
                  <c:v>89.6181131724236</c:v>
                </c:pt>
                <c:pt idx="7">
                  <c:v>89.6092214349568</c:v>
                </c:pt>
                <c:pt idx="8">
                  <c:v>89.6001228360261</c:v>
                </c:pt>
                <c:pt idx="9">
                  <c:v>89.5908125753361</c:v>
                </c:pt>
                <c:pt idx="10">
                  <c:v>89.5812857420726</c:v>
                </c:pt>
                <c:pt idx="11">
                  <c:v>89.5715373124201</c:v>
                </c:pt>
                <c:pt idx="12">
                  <c:v>89.5615621470291</c:v>
                </c:pt>
                <c:pt idx="13">
                  <c:v>89.5513549884306</c:v>
                </c:pt>
                <c:pt idx="14">
                  <c:v>89.540910458398</c:v>
                </c:pt>
                <c:pt idx="15">
                  <c:v>89.530223055256</c:v>
                </c:pt>
                <c:pt idx="16">
                  <c:v>89.5192871511355</c:v>
                </c:pt>
                <c:pt idx="17">
                  <c:v>89.508096989173</c:v>
                </c:pt>
                <c:pt idx="18">
                  <c:v>89.4966466806555</c:v>
                </c:pt>
                <c:pt idx="19">
                  <c:v>89.4849302021095</c:v>
                </c:pt>
                <c:pt idx="20">
                  <c:v>89.4729413923328</c:v>
                </c:pt>
                <c:pt idx="21">
                  <c:v>89.4606739493701</c:v>
                </c:pt>
                <c:pt idx="22">
                  <c:v>89.4481214274309</c:v>
                </c:pt>
                <c:pt idx="23">
                  <c:v>89.4352772337492</c:v>
                </c:pt>
                <c:pt idx="24">
                  <c:v>89.4221346253857</c:v>
                </c:pt>
                <c:pt idx="25">
                  <c:v>89.4086867059707</c:v>
                </c:pt>
                <c:pt idx="26">
                  <c:v>89.3949264223888</c:v>
                </c:pt>
                <c:pt idx="27">
                  <c:v>89.3808465614044</c:v>
                </c:pt>
                <c:pt idx="28">
                  <c:v>89.3664397462282</c:v>
                </c:pt>
                <c:pt idx="29">
                  <c:v>89.3516984330247</c:v>
                </c:pt>
                <c:pt idx="30">
                  <c:v>89.336614907361</c:v>
                </c:pt>
                <c:pt idx="31">
                  <c:v>89.3211812805963</c:v>
                </c:pt>
                <c:pt idx="32">
                  <c:v>89.3053894862138</c:v>
                </c:pt>
                <c:pt idx="33">
                  <c:v>89.2892312760938</c:v>
                </c:pt>
                <c:pt idx="34">
                  <c:v>89.2726982167301</c:v>
                </c:pt>
                <c:pt idx="35">
                  <c:v>89.2557816853895</c:v>
                </c:pt>
                <c:pt idx="36">
                  <c:v>89.2384728662146</c:v>
                </c:pt>
                <c:pt idx="37">
                  <c:v>89.2207627462741</c:v>
                </c:pt>
                <c:pt idx="38">
                  <c:v>89.2026421115567</c:v>
                </c:pt>
                <c:pt idx="39">
                  <c:v>89.184101542915</c:v>
                </c:pt>
                <c:pt idx="40">
                  <c:v>89.1651314119583</c:v>
                </c:pt>
                <c:pt idx="41">
                  <c:v>89.1457218768967</c:v>
                </c:pt>
                <c:pt idx="42">
                  <c:v>89.1258628783387</c:v>
                </c:pt>
                <c:pt idx="43">
                  <c:v>89.1055441350448</c:v>
                </c:pt>
                <c:pt idx="44">
                  <c:v>89.0847551396402</c:v>
                </c:pt>
                <c:pt idx="45">
                  <c:v>89.0634851542883</c:v>
                </c:pt>
                <c:pt idx="46">
                  <c:v>89.0417232063302</c:v>
                </c:pt>
                <c:pt idx="47">
                  <c:v>89.0194580838914</c:v>
                </c:pt>
                <c:pt idx="48">
                  <c:v>88.9966783314628</c:v>
                </c:pt>
                <c:pt idx="49">
                  <c:v>88.9733722454579</c:v>
                </c:pt>
                <c:pt idx="50">
                  <c:v>88.9495278697526</c:v>
                </c:pt>
                <c:pt idx="51">
                  <c:v>88.9251329912125</c:v>
                </c:pt>
                <c:pt idx="52">
                  <c:v>88.9001751352136</c:v>
                </c:pt>
                <c:pt idx="53">
                  <c:v>88.8746415611628</c:v>
                </c:pt>
                <c:pt idx="54">
                  <c:v>88.8485192580258</c:v>
                </c:pt>
                <c:pt idx="55">
                  <c:v>88.8217949398693</c:v>
                </c:pt>
                <c:pt idx="56">
                  <c:v>88.7944550414262</c:v>
                </c:pt>
                <c:pt idx="57">
                  <c:v>88.7664857136927</c:v>
                </c:pt>
                <c:pt idx="58">
                  <c:v>88.7378728195671</c:v>
                </c:pt>
                <c:pt idx="59">
                  <c:v>88.7086019295407</c:v>
                </c:pt>
                <c:pt idx="60">
                  <c:v>88.6786583174532</c:v>
                </c:pt>
                <c:pt idx="61">
                  <c:v>88.648026956322</c:v>
                </c:pt>
                <c:pt idx="62">
                  <c:v>88.6166925142631</c:v>
                </c:pt>
                <c:pt idx="63">
                  <c:v>88.5846393505132</c:v>
                </c:pt>
                <c:pt idx="64">
                  <c:v>88.551851511572</c:v>
                </c:pt>
                <c:pt idx="65">
                  <c:v>88.5183127274785</c:v>
                </c:pt>
                <c:pt idx="66">
                  <c:v>88.484006408241</c:v>
                </c:pt>
                <c:pt idx="67">
                  <c:v>88.4489156404372</c:v>
                </c:pt>
                <c:pt idx="68">
                  <c:v>88.4130231840079</c:v>
                </c:pt>
                <c:pt idx="69">
                  <c:v>88.3763114692623</c:v>
                </c:pt>
                <c:pt idx="70">
                  <c:v>88.3387625941208</c:v>
                </c:pt>
                <c:pt idx="71">
                  <c:v>88.3003583216178</c:v>
                </c:pt>
                <c:pt idx="72">
                  <c:v>88.261080077693</c:v>
                </c:pt>
                <c:pt idx="73">
                  <c:v>88.2209089492958</c:v>
                </c:pt>
                <c:pt idx="74">
                  <c:v>88.179825682836</c:v>
                </c:pt>
                <c:pt idx="75">
                  <c:v>88.1378106830094</c:v>
                </c:pt>
                <c:pt idx="76">
                  <c:v>88.0948440120342</c:v>
                </c:pt>
                <c:pt idx="77">
                  <c:v>88.0509053893298</c:v>
                </c:pt>
                <c:pt idx="78">
                  <c:v>88.0059741916806</c:v>
                </c:pt>
                <c:pt idx="79">
                  <c:v>87.9600294539197</c:v>
                </c:pt>
                <c:pt idx="80">
                  <c:v>87.9130498701758</c:v>
                </c:pt>
                <c:pt idx="81">
                  <c:v>87.8650137957292</c:v>
                </c:pt>
                <c:pt idx="82">
                  <c:v>87.8158992495191</c:v>
                </c:pt>
                <c:pt idx="83">
                  <c:v>87.7656839173543</c:v>
                </c:pt>
                <c:pt idx="84">
                  <c:v>87.7143451558767</c:v>
                </c:pt>
                <c:pt idx="85">
                  <c:v>87.6618599973307</c:v>
                </c:pt>
                <c:pt idx="86">
                  <c:v>87.6082051551943</c:v>
                </c:pt>
                <c:pt idx="87">
                  <c:v>87.5533570307314</c:v>
                </c:pt>
                <c:pt idx="88">
                  <c:v>87.4972917205228</c:v>
                </c:pt>
                <c:pt idx="89">
                  <c:v>87.439985025041</c:v>
                </c:pt>
                <c:pt idx="90">
                  <c:v>87.3814124583337</c:v>
                </c:pt>
                <c:pt idx="91">
                  <c:v>87.3215492588803</c:v>
                </c:pt>
                <c:pt idx="92">
                  <c:v>87.2603704016954</c:v>
                </c:pt>
                <c:pt idx="93">
                  <c:v>87.1978506117432</c:v>
                </c:pt>
                <c:pt idx="94">
                  <c:v>87.1339643787426</c:v>
                </c:pt>
                <c:pt idx="95">
                  <c:v>87.0686859734311</c:v>
                </c:pt>
                <c:pt idx="96">
                  <c:v>87.001989465365</c:v>
                </c:pt>
                <c:pt idx="97">
                  <c:v>86.9338487423298</c:v>
                </c:pt>
                <c:pt idx="98">
                  <c:v>86.864237531438</c:v>
                </c:pt>
                <c:pt idx="99">
                  <c:v>86.7931294219876</c:v>
                </c:pt>
                <c:pt idx="100">
                  <c:v>86.7204978901574</c:v>
                </c:pt>
                <c:pt idx="101">
                  <c:v>86.6463163256101</c:v>
                </c:pt>
                <c:pt idx="102">
                  <c:v>86.5705580600752</c:v>
                </c:pt>
                <c:pt idx="103">
                  <c:v>86.4931963979787</c:v>
                </c:pt>
                <c:pt idx="104">
                  <c:v>86.4142046491811</c:v>
                </c:pt>
                <c:pt idx="105">
                  <c:v>86.3335561638861</c:v>
                </c:pt>
                <c:pt idx="106">
                  <c:v>86.2512243697648</c:v>
                </c:pt>
                <c:pt idx="107">
                  <c:v>86.1671828113465</c:v>
                </c:pt>
                <c:pt idx="108">
                  <c:v>86.0814051917064</c:v>
                </c:pt>
                <c:pt idx="109">
                  <c:v>85.9938654164761</c:v>
                </c:pt>
                <c:pt idx="110">
                  <c:v>85.9045376401875</c:v>
                </c:pt>
                <c:pt idx="111">
                  <c:v>85.8133963149498</c:v>
                </c:pt>
                <c:pt idx="112">
                  <c:v>85.7204162414373</c:v>
                </c:pt>
                <c:pt idx="113">
                  <c:v>85.6255726221547</c:v>
                </c:pt>
                <c:pt idx="114">
                  <c:v>85.5288411169177</c:v>
                </c:pt>
                <c:pt idx="115">
                  <c:v>85.4301979004698</c:v>
                </c:pt>
                <c:pt idx="116">
                  <c:v>85.3296197221299</c:v>
                </c:pt>
                <c:pt idx="117">
                  <c:v>85.2270839673288</c:v>
                </c:pt>
                <c:pt idx="118">
                  <c:v>85.1225687208751</c:v>
                </c:pt>
                <c:pt idx="119">
                  <c:v>85.0160528317442</c:v>
                </c:pt>
                <c:pt idx="120">
                  <c:v>84.9075159791528</c:v>
                </c:pt>
                <c:pt idx="121">
                  <c:v>84.7969387396416</c:v>
                </c:pt>
                <c:pt idx="122">
                  <c:v>84.6843026548443</c:v>
                </c:pt>
                <c:pt idx="123">
                  <c:v>84.5695902995735</c:v>
                </c:pt>
                <c:pt idx="124">
                  <c:v>84.4527853498087</c:v>
                </c:pt>
                <c:pt idx="125">
                  <c:v>84.3338726501192</c:v>
                </c:pt>
                <c:pt idx="126">
                  <c:v>84.2128382799969</c:v>
                </c:pt>
                <c:pt idx="127">
                  <c:v>84.0896696185268</c:v>
                </c:pt>
                <c:pt idx="128">
                  <c:v>83.9643554067559</c:v>
                </c:pt>
                <c:pt idx="129">
                  <c:v>83.8368858070679</c:v>
                </c:pt>
                <c:pt idx="130">
                  <c:v>83.7072524588156</c:v>
                </c:pt>
                <c:pt idx="131">
                  <c:v>83.5754485293938</c:v>
                </c:pt>
                <c:pt idx="132">
                  <c:v>83.4414687598878</c:v>
                </c:pt>
                <c:pt idx="133">
                  <c:v>83.3053095043696</c:v>
                </c:pt>
                <c:pt idx="134">
                  <c:v>83.1669687618681</c:v>
                </c:pt>
                <c:pt idx="135">
                  <c:v>83.0264461999818</c:v>
                </c:pt>
                <c:pt idx="136">
                  <c:v>82.8837431690684</c:v>
                </c:pt>
                <c:pt idx="137">
                  <c:v>82.7388627059046</c:v>
                </c:pt>
                <c:pt idx="138">
                  <c:v>82.5918095256819</c:v>
                </c:pt>
                <c:pt idx="139">
                  <c:v>82.4425900011858</c:v>
                </c:pt>
                <c:pt idx="140">
                  <c:v>82.2912121280047</c:v>
                </c:pt>
                <c:pt idx="141">
                  <c:v>82.137685474616</c:v>
                </c:pt>
                <c:pt idx="142">
                  <c:v>81.9820211162176</c:v>
                </c:pt>
                <c:pt idx="143">
                  <c:v>81.824231551223</c:v>
                </c:pt>
                <c:pt idx="144">
                  <c:v>81.6643305993778</c:v>
                </c:pt>
                <c:pt idx="145">
                  <c:v>81.5023332805481</c:v>
                </c:pt>
                <c:pt idx="146">
                  <c:v>81.3382556733158</c:v>
                </c:pt>
                <c:pt idx="147">
                  <c:v>81.1721147526415</c:v>
                </c:pt>
                <c:pt idx="148">
                  <c:v>81.0039282059934</c:v>
                </c:pt>
                <c:pt idx="149">
                  <c:v>80.8337142275065</c:v>
                </c:pt>
                <c:pt idx="150">
                  <c:v>80.6614912899187</c:v>
                </c:pt>
                <c:pt idx="151">
                  <c:v>80.4872778942423</c:v>
                </c:pt>
                <c:pt idx="152">
                  <c:v>80.3110922973566</c:v>
                </c:pt>
                <c:pt idx="153">
                  <c:v>80.1329522179531</c:v>
                </c:pt>
                <c:pt idx="154">
                  <c:v>79.9528745215371</c:v>
                </c:pt>
                <c:pt idx="155">
                  <c:v>79.7708748854551</c:v>
                </c:pt>
                <c:pt idx="156">
                  <c:v>79.5869674452231</c:v>
                </c:pt>
                <c:pt idx="157">
                  <c:v>79.4011644237113</c:v>
                </c:pt>
                <c:pt idx="158">
                  <c:v>79.2134757450494</c:v>
                </c:pt>
                <c:pt idx="159">
                  <c:v>79.0239086354043</c:v>
                </c:pt>
                <c:pt idx="160">
                  <c:v>78.8324672130706</c:v>
                </c:pt>
                <c:pt idx="161">
                  <c:v>78.6391520705793</c:v>
                </c:pt>
                <c:pt idx="162">
                  <c:v>78.4439598517904</c:v>
                </c:pt>
                <c:pt idx="163">
                  <c:v>78.2468828271423</c:v>
                </c:pt>
                <c:pt idx="164">
                  <c:v>78.0479084704348</c:v>
                </c:pt>
                <c:pt idx="165">
                  <c:v>77.8470190406662</c:v>
                </c:pt>
                <c:pt idx="166">
                  <c:v>77.6441911725536</c:v>
                </c:pt>
                <c:pt idx="167">
                  <c:v>77.4393954794254</c:v>
                </c:pt>
                <c:pt idx="168">
                  <c:v>77.2325961721879</c:v>
                </c:pt>
                <c:pt idx="169">
                  <c:v>77.0237506980097</c:v>
                </c:pt>
                <c:pt idx="170">
                  <c:v>76.8128094022804</c:v>
                </c:pt>
                <c:pt idx="171">
                  <c:v>76.599715217228</c:v>
                </c:pt>
                <c:pt idx="172">
                  <c:v>76.3844033803721</c:v>
                </c:pt>
                <c:pt idx="173">
                  <c:v>76.1668011857246</c:v>
                </c:pt>
                <c:pt idx="174">
                  <c:v>75.946827770326</c:v>
                </c:pt>
                <c:pt idx="175">
                  <c:v>75.7243939383496</c:v>
                </c:pt>
                <c:pt idx="176">
                  <c:v>75.4994020246066</c:v>
                </c:pt>
                <c:pt idx="177">
                  <c:v>75.2717457988488</c:v>
                </c:pt>
                <c:pt idx="178">
                  <c:v>75.0413104118132</c:v>
                </c:pt>
                <c:pt idx="179">
                  <c:v>74.8079723834879</c:v>
                </c:pt>
                <c:pt idx="180">
                  <c:v>74.5715996335883</c:v>
                </c:pt>
                <c:pt idx="181">
                  <c:v>74.3320515537791</c:v>
                </c:pt>
                <c:pt idx="182">
                  <c:v>74.0891791206966</c:v>
                </c:pt>
                <c:pt idx="183">
                  <c:v>73.8428250484019</c:v>
                </c:pt>
                <c:pt idx="184">
                  <c:v>73.592823978475</c:v>
                </c:pt>
                <c:pt idx="185">
                  <c:v>73.3390027055899</c:v>
                </c:pt>
                <c:pt idx="186">
                  <c:v>73.0811804360778</c:v>
                </c:pt>
                <c:pt idx="187">
                  <c:v>72.8191690767075</c:v>
                </c:pt>
                <c:pt idx="188">
                  <c:v>72.552773550672</c:v>
                </c:pt>
                <c:pt idx="189">
                  <c:v>72.2817921376073</c:v>
                </c:pt>
                <c:pt idx="190">
                  <c:v>72.0060168343475</c:v>
                </c:pt>
                <c:pt idx="191">
                  <c:v>71.7252337330537</c:v>
                </c:pt>
                <c:pt idx="192">
                  <c:v>71.4392234133585</c:v>
                </c:pt>
                <c:pt idx="193">
                  <c:v>71.1477613452156</c:v>
                </c:pt>
                <c:pt idx="194">
                  <c:v>70.8506182992349</c:v>
                </c:pt>
                <c:pt idx="195">
                  <c:v>70.547560761442</c:v>
                </c:pt>
                <c:pt idx="196">
                  <c:v>70.2383513495802</c:v>
                </c:pt>
                <c:pt idx="197">
                  <c:v>69.9227492282967</c:v>
                </c:pt>
                <c:pt idx="198">
                  <c:v>69.6005105208095</c:v>
                </c:pt>
                <c:pt idx="199">
                  <c:v>69.2713887149334</c:v>
                </c:pt>
                <c:pt idx="200">
                  <c:v>68.9351350616184</c:v>
                </c:pt>
                <c:pt idx="201">
                  <c:v>68.5914989644921</c:v>
                </c:pt>
                <c:pt idx="202">
                  <c:v>68.2402283591718</c:v>
                </c:pt>
                <c:pt idx="203">
                  <c:v>67.8810700814585</c:v>
                </c:pt>
                <c:pt idx="204">
                  <c:v>67.5137702238048</c:v>
                </c:pt>
                <c:pt idx="205">
                  <c:v>67.1380744797657</c:v>
                </c:pt>
                <c:pt idx="206">
                  <c:v>66.7537284764137</c:v>
                </c:pt>
                <c:pt idx="207">
                  <c:v>66.3604780949722</c:v>
                </c:pt>
                <c:pt idx="208">
                  <c:v>65.9580697801734</c:v>
                </c:pt>
                <c:pt idx="209">
                  <c:v>65.5462508390624</c:v>
                </c:pt>
                <c:pt idx="210">
                  <c:v>65.1247697301857</c:v>
                </c:pt>
                <c:pt idx="211">
                  <c:v>64.6933763442692</c:v>
                </c:pt>
                <c:pt idx="212">
                  <c:v>64.2518222776576</c:v>
                </c:pt>
                <c:pt idx="213">
                  <c:v>63.7998610999002</c:v>
                </c:pt>
                <c:pt idx="214">
                  <c:v>63.3372486169839</c:v>
                </c:pt>
                <c:pt idx="215">
                  <c:v>62.8637431317835</c:v>
                </c:pt>
                <c:pt idx="216">
                  <c:v>62.3791057033649</c:v>
                </c:pt>
                <c:pt idx="217">
                  <c:v>61.8831004067878</c:v>
                </c:pt>
                <c:pt idx="218">
                  <c:v>61.3754945950845</c:v>
                </c:pt>
                <c:pt idx="219">
                  <c:v>60.8560591650658</c:v>
                </c:pt>
                <c:pt idx="220">
                  <c:v>60.3245688285698</c:v>
                </c:pt>
                <c:pt idx="221">
                  <c:v>59.7808023907274</c:v>
                </c:pt>
                <c:pt idx="222">
                  <c:v>59.224543036739</c:v>
                </c:pt>
                <c:pt idx="223">
                  <c:v>58.65557862857</c:v>
                </c:pt>
                <c:pt idx="224">
                  <c:v>58.0737020128785</c:v>
                </c:pt>
                <c:pt idx="225">
                  <c:v>57.4787113413592</c:v>
                </c:pt>
                <c:pt idx="226">
                  <c:v>56.8704104045587</c:v>
                </c:pt>
                <c:pt idx="227">
                  <c:v>56.2486089800802</c:v>
                </c:pt>
                <c:pt idx="228">
                  <c:v>55.6131231959289</c:v>
                </c:pt>
                <c:pt idx="229">
                  <c:v>54.9637759095776</c:v>
                </c:pt>
                <c:pt idx="230">
                  <c:v>54.3003971031641</c:v>
                </c:pt>
                <c:pt idx="231">
                  <c:v>53.6228242950308</c:v>
                </c:pt>
                <c:pt idx="232">
                  <c:v>52.9309029676207</c:v>
                </c:pt>
                <c:pt idx="233">
                  <c:v>52.2244870115305</c:v>
                </c:pt>
                <c:pt idx="234">
                  <c:v>51.5034391853157</c:v>
                </c:pt>
                <c:pt idx="235">
                  <c:v>50.7676315904059</c:v>
                </c:pt>
                <c:pt idx="236">
                  <c:v>50.0169461602593</c:v>
                </c:pt>
                <c:pt idx="237">
                  <c:v>49.2512751626702</c:v>
                </c:pt>
                <c:pt idx="238">
                  <c:v>48.4705217138689</c:v>
                </c:pt>
                <c:pt idx="239">
                  <c:v>47.6746003028484</c:v>
                </c:pt>
                <c:pt idx="240">
                  <c:v>46.8634373240933</c:v>
                </c:pt>
                <c:pt idx="241">
                  <c:v>46.0369716166402</c:v>
                </c:pt>
                <c:pt idx="242">
                  <c:v>45.1951550071869</c:v>
                </c:pt>
                <c:pt idx="243">
                  <c:v>44.3379528547123</c:v>
                </c:pt>
                <c:pt idx="244">
                  <c:v>43.4653445938635</c:v>
                </c:pt>
                <c:pt idx="245">
                  <c:v>42.577324274151</c:v>
                </c:pt>
                <c:pt idx="246">
                  <c:v>41.6739010917936</c:v>
                </c:pt>
                <c:pt idx="247">
                  <c:v>40.7550999108821</c:v>
                </c:pt>
                <c:pt idx="248">
                  <c:v>39.820961770363</c:v>
                </c:pt>
                <c:pt idx="249">
                  <c:v>38.8715443732108</c:v>
                </c:pt>
                <c:pt idx="250">
                  <c:v>37.9069225540435</c:v>
                </c:pt>
                <c:pt idx="251">
                  <c:v>36.927188721356</c:v>
                </c:pt>
                <c:pt idx="252">
                  <c:v>35.9324532704907</c:v>
                </c:pt>
                <c:pt idx="253">
                  <c:v>34.9228449634465</c:v>
                </c:pt>
                <c:pt idx="254">
                  <c:v>33.898511271649</c:v>
                </c:pt>
                <c:pt idx="255">
                  <c:v>32.8596186778558</c:v>
                </c:pt>
                <c:pt idx="256">
                  <c:v>31.8063529334676</c:v>
                </c:pt>
                <c:pt idx="257">
                  <c:v>30.7389192676407</c:v>
                </c:pt>
                <c:pt idx="258">
                  <c:v>29.6575425447887</c:v>
                </c:pt>
                <c:pt idx="259">
                  <c:v>28.5624673672453</c:v>
                </c:pt>
                <c:pt idx="260">
                  <c:v>27.4539581201393</c:v>
                </c:pt>
                <c:pt idx="261">
                  <c:v>26.3322989557951</c:v>
                </c:pt>
                <c:pt idx="262">
                  <c:v>25.1977937153089</c:v>
                </c:pt>
                <c:pt idx="263">
                  <c:v>24.0507657852894</c:v>
                </c:pt>
                <c:pt idx="264">
                  <c:v>22.8915578881423</c:v>
                </c:pt>
                <c:pt idx="265">
                  <c:v>21.7205318046647</c:v>
                </c:pt>
                <c:pt idx="266">
                  <c:v>20.5380680281502</c:v>
                </c:pt>
                <c:pt idx="267">
                  <c:v>19.3445653496214</c:v>
                </c:pt>
                <c:pt idx="268">
                  <c:v>18.1404403742709</c:v>
                </c:pt>
                <c:pt idx="269">
                  <c:v>16.9261269696111</c:v>
                </c:pt>
                <c:pt idx="270">
                  <c:v>15.7020756463002</c:v>
                </c:pt>
                <c:pt idx="271">
                  <c:v>14.4687528730315</c:v>
                </c:pt>
                <c:pt idx="272">
                  <c:v>13.2266403273123</c:v>
                </c:pt>
                <c:pt idx="273">
                  <c:v>11.9762340843583</c:v>
                </c:pt>
                <c:pt idx="274">
                  <c:v>10.7180437467267</c:v>
                </c:pt>
                <c:pt idx="275">
                  <c:v>9.45259151768063</c:v>
                </c:pt>
                <c:pt idx="276">
                  <c:v>8.18041122161719</c:v>
                </c:pt>
                <c:pt idx="277">
                  <c:v>6.9020472752113</c:v>
                </c:pt>
                <c:pt idx="278">
                  <c:v>5.61805361321361</c:v>
                </c:pt>
                <c:pt idx="279">
                  <c:v>4.32899257310442</c:v>
                </c:pt>
                <c:pt idx="280">
                  <c:v>3.03543374302374</c:v>
                </c:pt>
                <c:pt idx="281">
                  <c:v>1.73795277761957</c:v>
                </c:pt>
                <c:pt idx="282">
                  <c:v>0.437130186588435</c:v>
                </c:pt>
                <c:pt idx="283">
                  <c:v>-0.866449899121073</c:v>
                </c:pt>
                <c:pt idx="284">
                  <c:v>-2.17220097841337</c:v>
                </c:pt>
                <c:pt idx="285">
                  <c:v>-3.47953544330123</c:v>
                </c:pt>
                <c:pt idx="286">
                  <c:v>-4.78786584911537</c:v>
                </c:pt>
                <c:pt idx="287">
                  <c:v>-6.09660618642204</c:v>
                </c:pt>
                <c:pt idx="288">
                  <c:v>-7.40517314940164</c:v>
                </c:pt>
                <c:pt idx="289">
                  <c:v>-8.71298739545337</c:v>
                </c:pt>
                <c:pt idx="290">
                  <c:v>-10.019474790824</c:v>
                </c:pt>
                <c:pt idx="291">
                  <c:v>-11.3240676371344</c:v>
                </c:pt>
                <c:pt idx="292">
                  <c:v>-12.6262058737609</c:v>
                </c:pt>
                <c:pt idx="293">
                  <c:v>-13.9253382511544</c:v>
                </c:pt>
                <c:pt idx="294">
                  <c:v>-15.2209234703202</c:v>
                </c:pt>
                <c:pt idx="295">
                  <c:v>-16.5124312838603</c:v>
                </c:pt>
                <c:pt idx="296">
                  <c:v>-17.7993435541861</c:v>
                </c:pt>
                <c:pt idx="297">
                  <c:v>-19.0811552647397</c:v>
                </c:pt>
                <c:pt idx="298">
                  <c:v>-20.3573754803304</c:v>
                </c:pt>
                <c:pt idx="299">
                  <c:v>-21.6275282529767</c:v>
                </c:pt>
                <c:pt idx="300">
                  <c:v>-22.8911534699848</c:v>
                </c:pt>
                <c:pt idx="301">
                  <c:v>-24.1478076413102</c:v>
                </c:pt>
                <c:pt idx="302">
                  <c:v>-25.3970646236614</c:v>
                </c:pt>
                <c:pt idx="303">
                  <c:v>-26.6385162791538</c:v>
                </c:pt>
                <c:pt idx="304">
                  <c:v>-27.8717730667771</c:v>
                </c:pt>
                <c:pt idx="305">
                  <c:v>-29.096464565329</c:v>
                </c:pt>
                <c:pt idx="306">
                  <c:v>-30.3122399269295</c:v>
                </c:pt>
                <c:pt idx="307">
                  <c:v>-31.5187682606526</c:v>
                </c:pt>
                <c:pt idx="308">
                  <c:v>-32.7157389462718</c:v>
                </c:pt>
                <c:pt idx="309">
                  <c:v>-33.90286187854</c:v>
                </c:pt>
                <c:pt idx="310">
                  <c:v>-35.0798676428441</c:v>
                </c:pt>
                <c:pt idx="311">
                  <c:v>-36.246507623516</c:v>
                </c:pt>
                <c:pt idx="312">
                  <c:v>-37.4025540464392</c:v>
                </c:pt>
                <c:pt idx="313">
                  <c:v>-38.5477999579809</c:v>
                </c:pt>
                <c:pt idx="314">
                  <c:v>-39.6820591426112</c:v>
                </c:pt>
                <c:pt idx="315">
                  <c:v>-40.8051659818846</c:v>
                </c:pt>
                <c:pt idx="316">
                  <c:v>-41.9169752577333</c:v>
                </c:pt>
                <c:pt idx="317">
                  <c:v>-43.0173619032485</c:v>
                </c:pt>
                <c:pt idx="318">
                  <c:v>-44.1062207043581</c:v>
                </c:pt>
                <c:pt idx="319">
                  <c:v>-45.1834659559267</c:v>
                </c:pt>
                <c:pt idx="320">
                  <c:v>-46.2490310759775</c:v>
                </c:pt>
                <c:pt idx="321">
                  <c:v>-47.3028681817728</c:v>
                </c:pt>
                <c:pt idx="322">
                  <c:v>-48.3449476315755</c:v>
                </c:pt>
                <c:pt idx="323">
                  <c:v>-49.3752575359085</c:v>
                </c:pt>
                <c:pt idx="324">
                  <c:v>-50.3938032421059</c:v>
                </c:pt>
                <c:pt idx="325">
                  <c:v>-51.4006067959013</c:v>
                </c:pt>
                <c:pt idx="326">
                  <c:v>-52.395706383719</c:v>
                </c:pt>
                <c:pt idx="327">
                  <c:v>-53.3791557592156</c:v>
                </c:pt>
                <c:pt idx="328">
                  <c:v>-54.3510236574994</c:v>
                </c:pt>
                <c:pt idx="329">
                  <c:v>-55.3113932002957</c:v>
                </c:pt>
                <c:pt idx="330">
                  <c:v>-56.2603612951569</c:v>
                </c:pt>
                <c:pt idx="331">
                  <c:v>-57.1980380316429</c:v>
                </c:pt>
                <c:pt idx="332">
                  <c:v>-58.1245460771951</c:v>
                </c:pt>
                <c:pt idx="333">
                  <c:v>-59.0400200752347</c:v>
                </c:pt>
                <c:pt idx="334">
                  <c:v>-59.9446060478001</c:v>
                </c:pt>
                <c:pt idx="335">
                  <c:v>-60.8384608048448</c:v>
                </c:pt>
                <c:pt idx="336">
                  <c:v>-61.7217513620901</c:v>
                </c:pt>
                <c:pt idx="337">
                  <c:v>-62.5946543691413</c:v>
                </c:pt>
                <c:pt idx="338">
                  <c:v>-63.4573555493503</c:v>
                </c:pt>
                <c:pt idx="339">
                  <c:v>-64.3100491527293</c:v>
                </c:pt>
                <c:pt idx="340">
                  <c:v>-65.1529374230129</c:v>
                </c:pt>
                <c:pt idx="341">
                  <c:v>-65.9862300797951</c:v>
                </c:pt>
                <c:pt idx="342">
                  <c:v>-66.8101438164807</c:v>
                </c:pt>
                <c:pt idx="343">
                  <c:v>-67.6249018146296</c:v>
                </c:pt>
                <c:pt idx="344">
                  <c:v>-68.4307332751175</c:v>
                </c:pt>
                <c:pt idx="345">
                  <c:v>-69.227872966386</c:v>
                </c:pt>
                <c:pt idx="346">
                  <c:v>-70.016560789917</c:v>
                </c:pt>
                <c:pt idx="347">
                  <c:v>-70.7970413629441</c:v>
                </c:pt>
                <c:pt idx="348">
                  <c:v>-71.5695636182973</c:v>
                </c:pt>
                <c:pt idx="349">
                  <c:v>-72.3343804211614</c:v>
                </c:pt>
                <c:pt idx="350">
                  <c:v>-73.0917482024472</c:v>
                </c:pt>
                <c:pt idx="351">
                  <c:v>-73.8419266083687</c:v>
                </c:pt>
                <c:pt idx="352">
                  <c:v>-74.5851781657551</c:v>
                </c:pt>
                <c:pt idx="353">
                  <c:v>-75.3217679625465</c:v>
                </c:pt>
                <c:pt idx="354">
                  <c:v>-76.0519633428658</c:v>
                </c:pt>
                <c:pt idx="355">
                  <c:v>-76.7760336159922</c:v>
                </c:pt>
                <c:pt idx="356">
                  <c:v>-77.494249778532</c:v>
                </c:pt>
                <c:pt idx="357">
                  <c:v>-78.2068842490185</c:v>
                </c:pt>
                <c:pt idx="358">
                  <c:v>-78.9142106141523</c:v>
                </c:pt>
                <c:pt idx="359">
                  <c:v>-79.6165033858546</c:v>
                </c:pt>
                <c:pt idx="360">
                  <c:v>-80.314037768282</c:v>
                </c:pt>
                <c:pt idx="361">
                  <c:v>-81.0070894339269</c:v>
                </c:pt>
                <c:pt idx="362">
                  <c:v>-81.6959343079168</c:v>
                </c:pt>
                <c:pt idx="363">
                  <c:v>-82.3808483596031</c:v>
                </c:pt>
                <c:pt idx="364">
                  <c:v>-83.0621074005266</c:v>
                </c:pt>
                <c:pt idx="365">
                  <c:v>-83.7399868878345</c:v>
                </c:pt>
                <c:pt idx="366">
                  <c:v>-84.4147617322262</c:v>
                </c:pt>
                <c:pt idx="367">
                  <c:v>-85.0867061094942</c:v>
                </c:pt>
                <c:pt idx="368">
                  <c:v>-85.7560932747366</c:v>
                </c:pt>
                <c:pt idx="369">
                  <c:v>-86.4231953783153</c:v>
                </c:pt>
                <c:pt idx="370">
                  <c:v>-87.088283282642</c:v>
                </c:pt>
                <c:pt idx="371">
                  <c:v>-87.7516263788817</c:v>
                </c:pt>
                <c:pt idx="372">
                  <c:v>-88.4134924026759</c:v>
                </c:pt>
                <c:pt idx="373">
                  <c:v>-89.0741472479965</c:v>
                </c:pt>
                <c:pt idx="374">
                  <c:v>-89.733854778263</c:v>
                </c:pt>
                <c:pt idx="375">
                  <c:v>-90.3928766338674</c:v>
                </c:pt>
                <c:pt idx="376">
                  <c:v>-91.0514720352784</c:v>
                </c:pt>
                <c:pt idx="377">
                  <c:v>-91.709897580918</c:v>
                </c:pt>
                <c:pt idx="378">
                  <c:v>-92.3684070390304</c:v>
                </c:pt>
                <c:pt idx="379">
                  <c:v>-93.0272511327969</c:v>
                </c:pt>
                <c:pt idx="380">
                  <c:v>-93.6866773179868</c:v>
                </c:pt>
                <c:pt idx="381">
                  <c:v>-94.3469295524674</c:v>
                </c:pt>
                <c:pt idx="382">
                  <c:v>-95.0082480569541</c:v>
                </c:pt>
                <c:pt idx="383">
                  <c:v>-95.670869066416</c:v>
                </c:pt>
                <c:pt idx="384">
                  <c:v>-96.3350245716197</c:v>
                </c:pt>
                <c:pt idx="385">
                  <c:v>-97.0009420503472</c:v>
                </c:pt>
                <c:pt idx="386">
                  <c:v>-97.6688441879018</c:v>
                </c:pt>
                <c:pt idx="387">
                  <c:v>-98.3389485865747</c:v>
                </c:pt>
                <c:pt idx="388">
                  <c:v>-99.0114674638451</c:v>
                </c:pt>
                <c:pt idx="389">
                  <c:v>-99.6866073391574</c:v>
                </c:pt>
                <c:pt idx="390">
                  <c:v>-100.364568709233</c:v>
                </c:pt>
                <c:pt idx="391">
                  <c:v>-101.045545711965</c:v>
                </c:pt>
                <c:pt idx="392">
                  <c:v>-101.729725779063</c:v>
                </c:pt>
                <c:pt idx="393">
                  <c:v>-102.417289277744</c:v>
                </c:pt>
                <c:pt idx="394">
                  <c:v>-103.108409141869</c:v>
                </c:pt>
                <c:pt idx="395">
                  <c:v>-103.803250493103</c:v>
                </c:pt>
                <c:pt idx="396">
                  <c:v>-104.501970252774</c:v>
                </c:pt>
                <c:pt idx="397">
                  <c:v>-105.204716745294</c:v>
                </c:pt>
                <c:pt idx="398">
                  <c:v>-105.911629294156</c:v>
                </c:pt>
                <c:pt idx="399">
                  <c:v>-106.622837811659</c:v>
                </c:pt>
                <c:pt idx="400">
                  <c:v>-107.338462383727</c:v>
                </c:pt>
                <c:pt idx="401">
                  <c:v>-108.058612851309</c:v>
                </c:pt>
                <c:pt idx="402">
                  <c:v>-108.783388390075</c:v>
                </c:pt>
                <c:pt idx="403">
                  <c:v>-109.512877090236</c:v>
                </c:pt>
                <c:pt idx="404">
                  <c:v>-110.247155538543</c:v>
                </c:pt>
                <c:pt idx="405">
                  <c:v>-110.986288404649</c:v>
                </c:pt>
                <c:pt idx="406">
                  <c:v>-111.730328034204</c:v>
                </c:pt>
                <c:pt idx="407">
                  <c:v>-112.47931405118</c:v>
                </c:pt>
                <c:pt idx="408">
                  <c:v>-113.233272972092</c:v>
                </c:pt>
                <c:pt idx="409">
                  <c:v>-113.992217834876</c:v>
                </c:pt>
                <c:pt idx="410">
                  <c:v>-114.756147845309</c:v>
                </c:pt>
                <c:pt idx="411">
                  <c:v>-115.525048043949</c:v>
                </c:pt>
                <c:pt idx="412">
                  <c:v>-116.298888996609</c:v>
                </c:pt>
                <c:pt idx="413">
                  <c:v>-117.077626511431</c:v>
                </c:pt>
                <c:pt idx="414">
                  <c:v>-117.86120138564</c:v>
                </c:pt>
                <c:pt idx="415">
                  <c:v>-118.649539184997</c:v>
                </c:pt>
                <c:pt idx="416">
                  <c:v>-119.442550058951</c:v>
                </c:pt>
                <c:pt idx="417">
                  <c:v>-120.240128594341</c:v>
                </c:pt>
                <c:pt idx="418">
                  <c:v>-121.042153710408</c:v>
                </c:pt>
                <c:pt idx="419">
                  <c:v>-121.848488597672</c:v>
                </c:pt>
                <c:pt idx="420">
                  <c:v>-122.658980703008</c:v>
                </c:pt>
                <c:pt idx="421">
                  <c:v>-123.473461763036</c:v>
                </c:pt>
                <c:pt idx="422">
                  <c:v>-124.291747887608</c:v>
                </c:pt>
                <c:pt idx="423">
                  <c:v>-125.113639694872</c:v>
                </c:pt>
                <c:pt idx="424">
                  <c:v>-125.938922499035</c:v>
                </c:pt>
                <c:pt idx="425">
                  <c:v>-126.767366551547</c:v>
                </c:pt>
                <c:pt idx="426">
                  <c:v>-127.598727336048</c:v>
                </c:pt>
                <c:pt idx="427">
                  <c:v>-128.432745916955</c:v>
                </c:pt>
                <c:pt idx="428">
                  <c:v>-129.269149341174</c:v>
                </c:pt>
                <c:pt idx="429">
                  <c:v>-130.107651091943</c:v>
                </c:pt>
                <c:pt idx="430">
                  <c:v>-130.947951593407</c:v>
                </c:pt>
                <c:pt idx="431">
                  <c:v>-131.789738764074</c:v>
                </c:pt>
                <c:pt idx="432">
                  <c:v>-132.63268861691</c:v>
                </c:pt>
                <c:pt idx="433">
                  <c:v>-133.476465903447</c:v>
                </c:pt>
                <c:pt idx="434">
                  <c:v>-134.320724798931</c:v>
                </c:pt>
                <c:pt idx="435">
                  <c:v>-135.165109625219</c:v>
                </c:pt>
                <c:pt idx="436">
                  <c:v>-136.009255607894</c:v>
                </c:pt>
                <c:pt idx="437">
                  <c:v>-136.852789663849</c:v>
                </c:pt>
                <c:pt idx="438">
                  <c:v>-137.695331215433</c:v>
                </c:pt>
                <c:pt idx="439">
                  <c:v>-138.536493027175</c:v>
                </c:pt>
                <c:pt idx="440">
                  <c:v>-139.375882061052</c:v>
                </c:pt>
                <c:pt idx="441">
                  <c:v>-140.213100346319</c:v>
                </c:pt>
                <c:pt idx="442">
                  <c:v>-141.04774585998</c:v>
                </c:pt>
                <c:pt idx="443">
                  <c:v>-141.879413414148</c:v>
                </c:pt>
                <c:pt idx="444">
                  <c:v>-142.707695546717</c:v>
                </c:pt>
                <c:pt idx="445">
                  <c:v>-143.532183412026</c:v>
                </c:pt>
                <c:pt idx="446">
                  <c:v>-144.352467668472</c:v>
                </c:pt>
                <c:pt idx="447">
                  <c:v>-145.168139360322</c:v>
                </c:pt>
                <c:pt idx="448">
                  <c:v>-145.978790791337</c:v>
                </c:pt>
                <c:pt idx="449">
                  <c:v>-146.784016388125</c:v>
                </c:pt>
                <c:pt idx="450">
                  <c:v>-147.583413551522</c:v>
                </c:pt>
                <c:pt idx="451">
                  <c:v>-148.376583494594</c:v>
                </c:pt>
                <c:pt idx="452">
                  <c:v>-149.163132066204</c:v>
                </c:pt>
                <c:pt idx="453">
                  <c:v>-149.942670559347</c:v>
                </c:pt>
                <c:pt idx="454">
                  <c:v>-150.714816503712</c:v>
                </c:pt>
                <c:pt idx="455">
                  <c:v>-151.47919444214</c:v>
                </c:pt>
                <c:pt idx="456">
                  <c:v>-152.235436690779</c:v>
                </c:pt>
                <c:pt idx="457">
                  <c:v>-152.983184082849</c:v>
                </c:pt>
                <c:pt idx="458">
                  <c:v>-153.722086695954</c:v>
                </c:pt>
                <c:pt idx="459">
                  <c:v>-154.451804562856</c:v>
                </c:pt>
                <c:pt idx="460">
                  <c:v>-155.172008365517</c:v>
                </c:pt>
                <c:pt idx="461">
                  <c:v>-155.882380112119</c:v>
                </c:pt>
                <c:pt idx="462">
                  <c:v>-156.582613796503</c:v>
                </c:pt>
                <c:pt idx="463">
                  <c:v>-157.272416039286</c:v>
                </c:pt>
                <c:pt idx="464">
                  <c:v>-157.951506709584</c:v>
                </c:pt>
                <c:pt idx="465">
                  <c:v>-158.619619525975</c:v>
                </c:pt>
                <c:pt idx="466">
                  <c:v>-159.276502634985</c:v>
                </c:pt>
                <c:pt idx="467">
                  <c:v>-159.921919165051</c:v>
                </c:pt>
                <c:pt idx="468">
                  <c:v>-160.555647753556</c:v>
                </c:pt>
                <c:pt idx="469">
                  <c:v>-161.177483044231</c:v>
                </c:pt>
                <c:pt idx="470">
                  <c:v>-161.787236151892</c:v>
                </c:pt>
                <c:pt idx="471">
                  <c:v>-162.384735091258</c:v>
                </c:pt>
                <c:pt idx="472">
                  <c:v>-162.969825166376</c:v>
                </c:pt>
                <c:pt idx="473">
                  <c:v>-163.54236931705</c:v>
                </c:pt>
                <c:pt idx="474">
                  <c:v>-164.102248418592</c:v>
                </c:pt>
                <c:pt idx="475">
                  <c:v>-164.649361531236</c:v>
                </c:pt>
                <c:pt idx="476">
                  <c:v>-165.183626095639</c:v>
                </c:pt>
                <c:pt idx="477">
                  <c:v>-165.704978071085</c:v>
                </c:pt>
                <c:pt idx="478">
                  <c:v>-166.213372013252</c:v>
                </c:pt>
                <c:pt idx="479">
                  <c:v>-166.70878108877</c:v>
                </c:pt>
                <c:pt idx="480">
                  <c:v>-167.191197024217</c:v>
                </c:pt>
                <c:pt idx="481">
                  <c:v>-167.6606299877</c:v>
                </c:pt>
                <c:pt idx="482">
                  <c:v>-168.117108401742</c:v>
                </c:pt>
                <c:pt idx="483">
                  <c:v>-168.560678686809</c:v>
                </c:pt>
                <c:pt idx="484">
                  <c:v>-168.991404935464</c:v>
                </c:pt>
                <c:pt idx="485">
                  <c:v>-169.409368517859</c:v>
                </c:pt>
                <c:pt idx="486">
                  <c:v>-169.814667619944</c:v>
                </c:pt>
                <c:pt idx="487">
                  <c:v>-170.207416716495</c:v>
                </c:pt>
                <c:pt idx="488">
                  <c:v>-170.587745981772</c:v>
                </c:pt>
                <c:pt idx="489">
                  <c:v>-170.955800641252</c:v>
                </c:pt>
                <c:pt idx="490">
                  <c:v>-171.311740268528</c:v>
                </c:pt>
                <c:pt idx="491">
                  <c:v>-171.655738032039</c:v>
                </c:pt>
                <c:pt idx="492">
                  <c:v>-171.987979896773</c:v>
                </c:pt>
                <c:pt idx="493">
                  <c:v>-172.308663786559</c:v>
                </c:pt>
                <c:pt idx="494">
                  <c:v>-172.617998712887</c:v>
                </c:pt>
                <c:pt idx="495">
                  <c:v>-172.916203876466</c:v>
                </c:pt>
                <c:pt idx="496">
                  <c:v>-173.203507747918</c:v>
                </c:pt>
                <c:pt idx="497">
                  <c:v>-173.480147134088</c:v>
                </c:pt>
                <c:pt idx="498">
                  <c:v>-173.746366236446</c:v>
                </c:pt>
                <c:pt idx="499">
                  <c:v>-174.002415707968</c:v>
                </c:pt>
                <c:pt idx="500">
                  <c:v>-174.248551714723</c:v>
                </c:pt>
                <c:pt idx="501">
                  <c:v>-174.485035008135</c:v>
                </c:pt>
                <c:pt idx="502">
                  <c:v>-174.712130013597</c:v>
                </c:pt>
                <c:pt idx="503">
                  <c:v>-174.9301039407</c:v>
                </c:pt>
                <c:pt idx="504">
                  <c:v>-175.139225919978</c:v>
                </c:pt>
                <c:pt idx="505">
                  <c:v>-175.339766170543</c:v>
                </c:pt>
                <c:pt idx="506">
                  <c:v>-175.531995202538</c:v>
                </c:pt>
                <c:pt idx="507">
                  <c:v>-175.716183057782</c:v>
                </c:pt>
                <c:pt idx="508">
                  <c:v>-175.892598591488</c:v>
                </c:pt>
                <c:pt idx="509">
                  <c:v>-176.061508797383</c:v>
                </c:pt>
                <c:pt idx="510">
                  <c:v>-176.223178178025</c:v>
                </c:pt>
                <c:pt idx="511">
                  <c:v>-176.377868161638</c:v>
                </c:pt>
                <c:pt idx="512">
                  <c:v>-176.525836566261</c:v>
                </c:pt>
                <c:pt idx="513">
                  <c:v>-176.667337111551</c:v>
                </c:pt>
                <c:pt idx="514">
                  <c:v>-176.802618978163</c:v>
                </c:pt>
                <c:pt idx="515">
                  <c:v>-176.9319264142</c:v>
                </c:pt>
                <c:pt idx="516">
                  <c:v>-177.0554983879</c:v>
                </c:pt>
                <c:pt idx="517">
                  <c:v>-177.173568285369</c:v>
                </c:pt>
                <c:pt idx="518">
                  <c:v>-177.286363651921</c:v>
                </c:pt>
                <c:pt idx="519">
                  <c:v>-177.394105975307</c:v>
                </c:pt>
                <c:pt idx="520">
                  <c:v>-177.497010508955</c:v>
                </c:pt>
                <c:pt idx="521">
                  <c:v>-177.595286133137</c:v>
                </c:pt>
                <c:pt idx="522">
                  <c:v>-177.689135251882</c:v>
                </c:pt>
                <c:pt idx="523">
                  <c:v>-177.778753723355</c:v>
                </c:pt>
                <c:pt idx="524">
                  <c:v>-177.864330821354</c:v>
                </c:pt>
                <c:pt idx="525">
                  <c:v>-177.946049225558</c:v>
                </c:pt>
                <c:pt idx="526">
                  <c:v>-178.024085038156</c:v>
                </c:pt>
                <c:pt idx="527">
                  <c:v>-178.098607824491</c:v>
                </c:pt>
                <c:pt idx="528">
                  <c:v>-178.16978067543</c:v>
                </c:pt>
                <c:pt idx="529">
                  <c:v>-178.237760289189</c:v>
                </c:pt>
                <c:pt idx="530">
                  <c:v>-178.302697070458</c:v>
                </c:pt>
                <c:pt idx="531">
                  <c:v>-178.364735244728</c:v>
                </c:pt>
                <c:pt idx="532">
                  <c:v>-178.424012985836</c:v>
                </c:pt>
                <c:pt idx="533">
                  <c:v>-178.480662554848</c:v>
                </c:pt>
                <c:pt idx="534">
                  <c:v>-178.534810448515</c:v>
                </c:pt>
                <c:pt idx="535">
                  <c:v>-178.586577555635</c:v>
                </c:pt>
                <c:pt idx="536">
                  <c:v>-178.636079319797</c:v>
                </c:pt>
                <c:pt idx="537">
                  <c:v>-178.683425907076</c:v>
                </c:pt>
                <c:pt idx="538">
                  <c:v>-178.728722377382</c:v>
                </c:pt>
                <c:pt idx="539">
                  <c:v>-178.772068858265</c:v>
                </c:pt>
                <c:pt idx="540">
                  <c:v>-178.813560720103</c:v>
                </c:pt>
                <c:pt idx="541">
                  <c:v>-178.853288751704</c:v>
                </c:pt>
              </c:numCache>
            </c:numRef>
          </c:yVal>
          <c:smooth val="1"/>
        </c:ser>
        <c:dLbls>
          <c:showLegendKey val="0"/>
          <c:showVal val="0"/>
          <c:showCatName val="0"/>
          <c:showSerName val="0"/>
          <c:showPercent val="0"/>
          <c:showBubbleSize val="0"/>
        </c:dLbls>
        <c:axId val="175891584"/>
        <c:axId val="175889792"/>
      </c:scatterChart>
      <c:valAx>
        <c:axId val="17588569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7872"/>
        <c:crosses val="autoZero"/>
        <c:crossBetween val="midCat"/>
      </c:valAx>
      <c:valAx>
        <c:axId val="175887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5885696"/>
        <c:crosses val="autoZero"/>
        <c:crossBetween val="midCat"/>
        <c:majorUnit val="20"/>
        <c:minorUnit val="10"/>
      </c:valAx>
      <c:valAx>
        <c:axId val="1758915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9792"/>
        <c:crosses val="autoZero"/>
        <c:crossBetween val="midCat"/>
      </c:valAx>
      <c:valAx>
        <c:axId val="175889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5891584"/>
        <c:crosses val="max"/>
        <c:crossBetween val="midCat"/>
        <c:majorUnit val="90"/>
        <c:minorUnit val="45"/>
      </c:valAx>
    </c:plotArea>
    <c:plotVisOnly val="1"/>
    <c:dispBlanksAs val="gap"/>
    <c:showDLblsOverMax val="0"/>
    <c:extLst>
      <c:ext uri="{0b15fc19-7d7d-44ad-8c2d-2c3a37ce22c3}">
        <chartProps xmlns="https://web.wps.cn/et/2018/main" chartId="{eacd9145-f186-4656-9553-407a3899a6b8}"/>
      </c:ext>
    </c:extLst>
  </c:chart>
  <c:txPr>
    <a:bodyPr/>
    <a:lstStyle/>
    <a:p>
      <a:pPr>
        <a:defRPr lang="pl-PL"/>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DCM Plant Transfer</a:t>
            </a:r>
            <a:r>
              <a:rPr lang="en-US" baseline="0"/>
              <a:t> Function</a:t>
            </a:r>
            <a:endParaRPr lang="en-US"/>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Loop_Modeling!$AQ$19:$AQ$560</c:f>
              <c:numCache>
                <c:formatCode>General</c:formatCode>
                <c:ptCount val="542"/>
                <c:pt idx="0">
                  <c:v>37.5545076377391</c:v>
                </c:pt>
                <c:pt idx="1">
                  <c:v>37.5544779002854</c:v>
                </c:pt>
                <c:pt idx="2">
                  <c:v>37.554446761567</c:v>
                </c:pt>
                <c:pt idx="3">
                  <c:v>37.5544141555654</c:v>
                </c:pt>
                <c:pt idx="4">
                  <c:v>37.5543800131527</c:v>
                </c:pt>
                <c:pt idx="5">
                  <c:v>37.5543442619455</c:v>
                </c:pt>
                <c:pt idx="6">
                  <c:v>37.5543068261513</c:v>
                </c:pt>
                <c:pt idx="7">
                  <c:v>37.5542676264084</c:v>
                </c:pt>
                <c:pt idx="8">
                  <c:v>37.5542265796179</c:v>
                </c:pt>
                <c:pt idx="9">
                  <c:v>37.5541835987676</c:v>
                </c:pt>
                <c:pt idx="10">
                  <c:v>37.5541385927484</c:v>
                </c:pt>
                <c:pt idx="11">
                  <c:v>37.5540914661608</c:v>
                </c:pt>
                <c:pt idx="12">
                  <c:v>37.5540421191138</c:v>
                </c:pt>
                <c:pt idx="13">
                  <c:v>37.5539904470134</c:v>
                </c:pt>
                <c:pt idx="14">
                  <c:v>37.5539363403409</c:v>
                </c:pt>
                <c:pt idx="15">
                  <c:v>37.5538796844222</c:v>
                </c:pt>
                <c:pt idx="16">
                  <c:v>37.5538203591847</c:v>
                </c:pt>
                <c:pt idx="17">
                  <c:v>37.5537582389038</c:v>
                </c:pt>
                <c:pt idx="18">
                  <c:v>37.5536931919368</c:v>
                </c:pt>
                <c:pt idx="19">
                  <c:v>37.5536250804451</c:v>
                </c:pt>
                <c:pt idx="20">
                  <c:v>37.553553760103</c:v>
                </c:pt>
                <c:pt idx="21">
                  <c:v>37.5534790797924</c:v>
                </c:pt>
                <c:pt idx="22">
                  <c:v>37.5534008812839</c:v>
                </c:pt>
                <c:pt idx="23">
                  <c:v>37.5533189989029</c:v>
                </c:pt>
                <c:pt idx="24">
                  <c:v>37.5532332591792</c:v>
                </c:pt>
                <c:pt idx="25">
                  <c:v>37.5531434804815</c:v>
                </c:pt>
                <c:pt idx="26">
                  <c:v>37.5530494726339</c:v>
                </c:pt>
                <c:pt idx="27">
                  <c:v>37.5529510365145</c:v>
                </c:pt>
                <c:pt idx="28">
                  <c:v>37.5528479636357</c:v>
                </c:pt>
                <c:pt idx="29">
                  <c:v>37.5527400357044</c:v>
                </c:pt>
                <c:pt idx="30">
                  <c:v>37.5526270241619</c:v>
                </c:pt>
                <c:pt idx="31">
                  <c:v>37.5525086897023</c:v>
                </c:pt>
                <c:pt idx="32">
                  <c:v>37.5523847817681</c:v>
                </c:pt>
                <c:pt idx="33">
                  <c:v>37.5522550380228</c:v>
                </c:pt>
                <c:pt idx="34">
                  <c:v>37.5521191837987</c:v>
                </c:pt>
                <c:pt idx="35">
                  <c:v>37.5519769315183</c:v>
                </c:pt>
                <c:pt idx="36">
                  <c:v>37.5518279800897</c:v>
                </c:pt>
                <c:pt idx="37">
                  <c:v>37.5516720142734</c:v>
                </c:pt>
                <c:pt idx="38">
                  <c:v>37.5515087040193</c:v>
                </c:pt>
                <c:pt idx="39">
                  <c:v>37.5513377037739</c:v>
                </c:pt>
                <c:pt idx="40">
                  <c:v>37.5511586517533</c:v>
                </c:pt>
                <c:pt idx="41">
                  <c:v>37.550971169185</c:v>
                </c:pt>
                <c:pt idx="42">
                  <c:v>37.5507748595122</c:v>
                </c:pt>
                <c:pt idx="43">
                  <c:v>37.5505693075626</c:v>
                </c:pt>
                <c:pt idx="44">
                  <c:v>37.5503540786778</c:v>
                </c:pt>
                <c:pt idx="45">
                  <c:v>37.5501287178033</c:v>
                </c:pt>
                <c:pt idx="46">
                  <c:v>37.5498927485347</c:v>
                </c:pt>
                <c:pt idx="47">
                  <c:v>37.5496456721221</c:v>
                </c:pt>
                <c:pt idx="48">
                  <c:v>37.5493869664262</c:v>
                </c:pt>
                <c:pt idx="49">
                  <c:v>37.5491160848276</c:v>
                </c:pt>
                <c:pt idx="50">
                  <c:v>37.5488324550855</c:v>
                </c:pt>
                <c:pt idx="51">
                  <c:v>37.5485354781431</c:v>
                </c:pt>
                <c:pt idx="52">
                  <c:v>37.5482245268792</c:v>
                </c:pt>
                <c:pt idx="53">
                  <c:v>37.5478989448013</c:v>
                </c:pt>
                <c:pt idx="54">
                  <c:v>37.5475580446792</c:v>
                </c:pt>
                <c:pt idx="55">
                  <c:v>37.5472011071156</c:v>
                </c:pt>
                <c:pt idx="56">
                  <c:v>37.5468273790516</c:v>
                </c:pt>
                <c:pt idx="57">
                  <c:v>37.5464360722035</c:v>
                </c:pt>
                <c:pt idx="58">
                  <c:v>37.5460263614281</c:v>
                </c:pt>
                <c:pt idx="59">
                  <c:v>37.5455973830139</c:v>
                </c:pt>
                <c:pt idx="60">
                  <c:v>37.5451482328936</c:v>
                </c:pt>
                <c:pt idx="61">
                  <c:v>37.5446779647759</c:v>
                </c:pt>
                <c:pt idx="62">
                  <c:v>37.5441855881928</c:v>
                </c:pt>
                <c:pt idx="63">
                  <c:v>37.5436700664574</c:v>
                </c:pt>
                <c:pt idx="64">
                  <c:v>37.54313031453</c:v>
                </c:pt>
                <c:pt idx="65">
                  <c:v>37.5425651967878</c:v>
                </c:pt>
                <c:pt idx="66">
                  <c:v>37.5419735246939</c:v>
                </c:pt>
                <c:pt idx="67">
                  <c:v>37.541354054362</c:v>
                </c:pt>
                <c:pt idx="68">
                  <c:v>37.5407054840107</c:v>
                </c:pt>
                <c:pt idx="69">
                  <c:v>37.5400264513058</c:v>
                </c:pt>
                <c:pt idx="70">
                  <c:v>37.539315530582</c:v>
                </c:pt>
                <c:pt idx="71">
                  <c:v>37.5385712299421</c:v>
                </c:pt>
                <c:pt idx="72">
                  <c:v>37.5377919882275</c:v>
                </c:pt>
                <c:pt idx="73">
                  <c:v>37.5369761718541</c:v>
                </c:pt>
                <c:pt idx="74">
                  <c:v>37.5361220715089</c:v>
                </c:pt>
                <c:pt idx="75">
                  <c:v>37.5352278987014</c:v>
                </c:pt>
                <c:pt idx="76">
                  <c:v>37.5342917821639</c:v>
                </c:pt>
                <c:pt idx="77">
                  <c:v>37.5333117640945</c:v>
                </c:pt>
                <c:pt idx="78">
                  <c:v>37.5322857962373</c:v>
                </c:pt>
                <c:pt idx="79">
                  <c:v>37.5312117357918</c:v>
                </c:pt>
                <c:pt idx="80">
                  <c:v>37.5300873411469</c:v>
                </c:pt>
                <c:pt idx="81">
                  <c:v>37.5289102674314</c:v>
                </c:pt>
                <c:pt idx="82">
                  <c:v>37.5276780618746</c:v>
                </c:pt>
                <c:pt idx="83">
                  <c:v>37.526388158969</c:v>
                </c:pt>
                <c:pt idx="84">
                  <c:v>37.5250378754296</c:v>
                </c:pt>
                <c:pt idx="85">
                  <c:v>37.5236244049402</c:v>
                </c:pt>
                <c:pt idx="86">
                  <c:v>37.522144812681</c:v>
                </c:pt>
                <c:pt idx="87">
                  <c:v>37.5205960296281</c:v>
                </c:pt>
                <c:pt idx="88">
                  <c:v>37.5189748466187</c:v>
                </c:pt>
                <c:pt idx="89">
                  <c:v>37.5172779081726</c:v>
                </c:pt>
                <c:pt idx="90">
                  <c:v>37.5155017060624</c:v>
                </c:pt>
                <c:pt idx="91">
                  <c:v>37.5136425726246</c:v>
                </c:pt>
                <c:pt idx="92">
                  <c:v>37.5116966738032</c:v>
                </c:pt>
                <c:pt idx="93">
                  <c:v>37.5096600019174</c:v>
                </c:pt>
                <c:pt idx="94">
                  <c:v>37.5075283681447</c:v>
                </c:pt>
                <c:pt idx="95">
                  <c:v>37.5052973947129</c:v>
                </c:pt>
                <c:pt idx="96">
                  <c:v>37.502962506791</c:v>
                </c:pt>
                <c:pt idx="97">
                  <c:v>37.5005189240713</c:v>
                </c:pt>
                <c:pt idx="98">
                  <c:v>37.4979616520367</c:v>
                </c:pt>
                <c:pt idx="99">
                  <c:v>37.4952854729029</c:v>
                </c:pt>
                <c:pt idx="100">
                  <c:v>37.49248493623</c:v>
                </c:pt>
                <c:pt idx="101">
                  <c:v>37.4895543491957</c:v>
                </c:pt>
                <c:pt idx="102">
                  <c:v>37.4864877665239</c:v>
                </c:pt>
                <c:pt idx="103">
                  <c:v>37.4832789800628</c:v>
                </c:pt>
                <c:pt idx="104">
                  <c:v>37.4799215080051</c:v>
                </c:pt>
                <c:pt idx="105">
                  <c:v>37.4764085837486</c:v>
                </c:pt>
                <c:pt idx="106">
                  <c:v>37.4727331443903</c:v>
                </c:pt>
                <c:pt idx="107">
                  <c:v>37.468887818852</c:v>
                </c:pt>
                <c:pt idx="108">
                  <c:v>37.4648649156352</c:v>
                </c:pt>
                <c:pt idx="109">
                  <c:v>37.4606564102037</c:v>
                </c:pt>
                <c:pt idx="110">
                  <c:v>37.4562539319944</c:v>
                </c:pt>
                <c:pt idx="111">
                  <c:v>37.4516487510578</c:v>
                </c:pt>
                <c:pt idx="112">
                  <c:v>37.4468317643318</c:v>
                </c:pt>
                <c:pt idx="113">
                  <c:v>37.4417934815526</c:v>
                </c:pt>
                <c:pt idx="114">
                  <c:v>37.4365240108113</c:v>
                </c:pt>
                <c:pt idx="115">
                  <c:v>37.4310130437638</c:v>
                </c:pt>
                <c:pt idx="116">
                  <c:v>37.4252498405064</c:v>
                </c:pt>
                <c:pt idx="117">
                  <c:v>37.4192232141306</c:v>
                </c:pt>
                <c:pt idx="118">
                  <c:v>37.4129215149747</c:v>
                </c:pt>
                <c:pt idx="119">
                  <c:v>37.4063326145918</c:v>
                </c:pt>
                <c:pt idx="120">
                  <c:v>37.3994438894577</c:v>
                </c:pt>
                <c:pt idx="121">
                  <c:v>37.3922422044456</c:v>
                </c:pt>
                <c:pt idx="122">
                  <c:v>37.3847138961002</c:v>
                </c:pt>
                <c:pt idx="123">
                  <c:v>37.3768447557438</c:v>
                </c:pt>
                <c:pt idx="124">
                  <c:v>37.3686200124575</c:v>
                </c:pt>
                <c:pt idx="125">
                  <c:v>37.3600243159798</c:v>
                </c:pt>
                <c:pt idx="126">
                  <c:v>37.3510417195748</c:v>
                </c:pt>
                <c:pt idx="127">
                  <c:v>37.3416556629244</c:v>
                </c:pt>
                <c:pt idx="128">
                  <c:v>37.3318489551066</c:v>
                </c:pt>
                <c:pt idx="129">
                  <c:v>37.3216037577285</c:v>
                </c:pt>
                <c:pt idx="130">
                  <c:v>37.3109015682879</c:v>
                </c:pt>
                <c:pt idx="131">
                  <c:v>37.2997232038447</c:v>
                </c:pt>
                <c:pt idx="132">
                  <c:v>37.2880487850928</c:v>
                </c:pt>
                <c:pt idx="133">
                  <c:v>37.275857720926</c:v>
                </c:pt>
                <c:pt idx="134">
                  <c:v>37.2631286936046</c:v>
                </c:pt>
                <c:pt idx="135">
                  <c:v>37.2498396446335</c:v>
                </c:pt>
                <c:pt idx="136">
                  <c:v>37.2359677614725</c:v>
                </c:pt>
                <c:pt idx="137">
                  <c:v>37.2214894652075</c:v>
                </c:pt>
                <c:pt idx="138">
                  <c:v>37.2063803993201</c:v>
                </c:pt>
                <c:pt idx="139">
                  <c:v>37.190615419701</c:v>
                </c:pt>
                <c:pt idx="140">
                  <c:v>37.1741685860609</c:v>
                </c:pt>
                <c:pt idx="141">
                  <c:v>37.1570131549013</c:v>
                </c:pt>
                <c:pt idx="142">
                  <c:v>37.1391215742163</c:v>
                </c:pt>
                <c:pt idx="143">
                  <c:v>37.1204654801009</c:v>
                </c:pt>
                <c:pt idx="144">
                  <c:v>37.1010156954529</c:v>
                </c:pt>
                <c:pt idx="145">
                  <c:v>37.0807422309572</c:v>
                </c:pt>
                <c:pt idx="146">
                  <c:v>37.0596142885508</c:v>
                </c:pt>
                <c:pt idx="147">
                  <c:v>37.037600267569</c:v>
                </c:pt>
                <c:pt idx="148">
                  <c:v>37.0146677737764</c:v>
                </c:pt>
                <c:pt idx="149">
                  <c:v>36.9907836314904</c:v>
                </c:pt>
                <c:pt idx="150">
                  <c:v>36.965913899004</c:v>
                </c:pt>
                <c:pt idx="151">
                  <c:v>36.9400238875121</c:v>
                </c:pt>
                <c:pt idx="152">
                  <c:v>36.9130781837451</c:v>
                </c:pt>
                <c:pt idx="153">
                  <c:v>36.8850406765059</c:v>
                </c:pt>
                <c:pt idx="154">
                  <c:v>36.8558745872994</c:v>
                </c:pt>
                <c:pt idx="155">
                  <c:v>36.8255425052311</c:v>
                </c:pt>
                <c:pt idx="156">
                  <c:v>36.7940064263432</c:v>
                </c:pt>
                <c:pt idx="157">
                  <c:v>36.7612277975329</c:v>
                </c:pt>
                <c:pt idx="158">
                  <c:v>36.727167565184</c:v>
                </c:pt>
                <c:pt idx="159">
                  <c:v>36.6917862286186</c:v>
                </c:pt>
                <c:pt idx="160">
                  <c:v>36.6550438984472</c:v>
                </c:pt>
                <c:pt idx="161">
                  <c:v>36.6169003598689</c:v>
                </c:pt>
                <c:pt idx="162">
                  <c:v>36.5773151409395</c:v>
                </c:pt>
                <c:pt idx="163">
                  <c:v>36.5362475857884</c:v>
                </c:pt>
                <c:pt idx="164">
                  <c:v>36.493656932725</c:v>
                </c:pt>
                <c:pt idx="165">
                  <c:v>36.4495023971349</c:v>
                </c:pt>
                <c:pt idx="166">
                  <c:v>36.403743259019</c:v>
                </c:pt>
                <c:pt idx="167">
                  <c:v>36.3563389549794</c:v>
                </c:pt>
                <c:pt idx="168">
                  <c:v>36.3072491744095</c:v>
                </c:pt>
                <c:pt idx="169">
                  <c:v>36.2564339595898</c:v>
                </c:pt>
                <c:pt idx="170">
                  <c:v>36.2038538093421</c:v>
                </c:pt>
                <c:pt idx="171">
                  <c:v>36.1494697858378</c:v>
                </c:pt>
                <c:pt idx="172">
                  <c:v>36.0932436241076</c:v>
                </c:pt>
                <c:pt idx="173">
                  <c:v>36.0351378437446</c:v>
                </c:pt>
                <c:pt idx="174">
                  <c:v>35.9751158622446</c:v>
                </c:pt>
                <c:pt idx="175">
                  <c:v>35.9131421093823</c:v>
                </c:pt>
                <c:pt idx="176">
                  <c:v>35.8491821419757</c:v>
                </c:pt>
                <c:pt idx="177">
                  <c:v>35.7832027583562</c:v>
                </c:pt>
                <c:pt idx="178">
                  <c:v>35.7151721118266</c:v>
                </c:pt>
                <c:pt idx="179">
                  <c:v>35.6450598223647</c:v>
                </c:pt>
                <c:pt idx="180">
                  <c:v>35.5728370858089</c:v>
                </c:pt>
                <c:pt idx="181">
                  <c:v>35.4984767797541</c:v>
                </c:pt>
                <c:pt idx="182">
                  <c:v>35.4219535653807</c:v>
                </c:pt>
                <c:pt idx="183">
                  <c:v>35.3432439844482</c:v>
                </c:pt>
                <c:pt idx="184">
                  <c:v>35.2623265506976</c:v>
                </c:pt>
                <c:pt idx="185">
                  <c:v>35.179181834937</c:v>
                </c:pt>
                <c:pt idx="186">
                  <c:v>35.0937925431153</c:v>
                </c:pt>
                <c:pt idx="187">
                  <c:v>35.006143586735</c:v>
                </c:pt>
                <c:pt idx="188">
                  <c:v>34.9162221450095</c:v>
                </c:pt>
                <c:pt idx="189">
                  <c:v>34.8240177182306</c:v>
                </c:pt>
                <c:pt idx="190">
                  <c:v>34.7295221718825</c:v>
                </c:pt>
                <c:pt idx="191">
                  <c:v>34.6327297711152</c:v>
                </c:pt>
                <c:pt idx="192">
                  <c:v>34.5336372052722</c:v>
                </c:pt>
                <c:pt idx="193">
                  <c:v>34.4322436022543</c:v>
                </c:pt>
                <c:pt idx="194">
                  <c:v>34.3285505325933</c:v>
                </c:pt>
                <c:pt idx="195">
                  <c:v>34.2225620031981</c:v>
                </c:pt>
                <c:pt idx="196">
                  <c:v>34.1142844408335</c:v>
                </c:pt>
                <c:pt idx="197">
                  <c:v>34.003726665479</c:v>
                </c:pt>
                <c:pt idx="198">
                  <c:v>33.8908998538088</c:v>
                </c:pt>
                <c:pt idx="199">
                  <c:v>33.7758174931167</c:v>
                </c:pt>
                <c:pt idx="200">
                  <c:v>33.6584953260942</c:v>
                </c:pt>
                <c:pt idx="201">
                  <c:v>33.5389512869418</c:v>
                </c:pt>
                <c:pt idx="202">
                  <c:v>33.4172054293632</c:v>
                </c:pt>
                <c:pt idx="203">
                  <c:v>33.2932798470537</c:v>
                </c:pt>
                <c:pt idx="204">
                  <c:v>33.1671985873412</c:v>
                </c:pt>
                <c:pt idx="205">
                  <c:v>33.0389875586838</c:v>
                </c:pt>
                <c:pt idx="206">
                  <c:v>32.9086744327613</c:v>
                </c:pt>
                <c:pt idx="207">
                  <c:v>32.7762885419167</c:v>
                </c:pt>
                <c:pt idx="208">
                  <c:v>32.6418607727231</c:v>
                </c:pt>
                <c:pt idx="209">
                  <c:v>32.5054234564506</c:v>
                </c:pt>
                <c:pt idx="210">
                  <c:v>32.3670102572071</c:v>
                </c:pt>
                <c:pt idx="211">
                  <c:v>32.2266560585104</c:v>
                </c:pt>
                <c:pt idx="212">
                  <c:v>32.084396849032</c:v>
                </c:pt>
                <c:pt idx="213">
                  <c:v>31.9402696082203</c:v>
                </c:pt>
                <c:pt idx="214">
                  <c:v>31.794312192482</c:v>
                </c:pt>
                <c:pt idx="215">
                  <c:v>31.6465632225567</c:v>
                </c:pt>
                <c:pt idx="216">
                  <c:v>31.4970619726784</c:v>
                </c:pt>
                <c:pt idx="217">
                  <c:v>31.3458482620689</c:v>
                </c:pt>
                <c:pt idx="218">
                  <c:v>31.1929623492592</c:v>
                </c:pt>
                <c:pt idx="219">
                  <c:v>31.0384448296811</c:v>
                </c:pt>
                <c:pt idx="220">
                  <c:v>30.8823365369207</c:v>
                </c:pt>
                <c:pt idx="221">
                  <c:v>30.724678447971</c:v>
                </c:pt>
                <c:pt idx="222">
                  <c:v>30.5655115927685</c:v>
                </c:pt>
                <c:pt idx="223">
                  <c:v>30.4048769682476</c:v>
                </c:pt>
                <c:pt idx="224">
                  <c:v>30.2428154570984</c:v>
                </c:pt>
                <c:pt idx="225">
                  <c:v>30.0793677513616</c:v>
                </c:pt>
                <c:pt idx="226">
                  <c:v>29.9145742809555</c:v>
                </c:pt>
                <c:pt idx="227">
                  <c:v>29.7484751471839</c:v>
                </c:pt>
                <c:pt idx="228">
                  <c:v>29.5811100612355</c:v>
                </c:pt>
                <c:pt idx="229">
                  <c:v>29.4125182876504</c:v>
                </c:pt>
                <c:pt idx="230">
                  <c:v>29.2427385926994</c:v>
                </c:pt>
                <c:pt idx="231">
                  <c:v>29.0718091975868</c:v>
                </c:pt>
                <c:pt idx="232">
                  <c:v>28.8997677363707</c:v>
                </c:pt>
                <c:pt idx="233">
                  <c:v>28.726651218465</c:v>
                </c:pt>
                <c:pt idx="234">
                  <c:v>28.552495995573</c:v>
                </c:pt>
                <c:pt idx="235">
                  <c:v>28.3773377328875</c:v>
                </c:pt>
                <c:pt idx="236">
                  <c:v>28.2012113843752</c:v>
                </c:pt>
                <c:pt idx="237">
                  <c:v>28.0241511719588</c:v>
                </c:pt>
                <c:pt idx="238">
                  <c:v>27.8461905683995</c:v>
                </c:pt>
                <c:pt idx="239">
                  <c:v>27.6673622836776</c:v>
                </c:pt>
                <c:pt idx="240">
                  <c:v>27.48769825467</c:v>
                </c:pt>
                <c:pt idx="241">
                  <c:v>27.3072296379159</c:v>
                </c:pt>
                <c:pt idx="242">
                  <c:v>27.1259868052705</c:v>
                </c:pt>
                <c:pt idx="243">
                  <c:v>26.9439993422423</c:v>
                </c:pt>
                <c:pt idx="244">
                  <c:v>26.7612960488186</c:v>
                </c:pt>
                <c:pt idx="245">
                  <c:v>26.5779049425843</c:v>
                </c:pt>
                <c:pt idx="246">
                  <c:v>26.3938532639487</c:v>
                </c:pt>
                <c:pt idx="247">
                  <c:v>26.2091674832983</c:v>
                </c:pt>
                <c:pt idx="248">
                  <c:v>26.0238733099046</c:v>
                </c:pt>
                <c:pt idx="249">
                  <c:v>25.8379957024193</c:v>
                </c:pt>
                <c:pt idx="250">
                  <c:v>25.6515588808007</c:v>
                </c:pt>
                <c:pt idx="251">
                  <c:v>25.4645863395234</c:v>
                </c:pt>
                <c:pt idx="252">
                  <c:v>25.2771008619283</c:v>
                </c:pt>
                <c:pt idx="253">
                  <c:v>25.0891245355843</c:v>
                </c:pt>
                <c:pt idx="254">
                  <c:v>24.9006787685364</c:v>
                </c:pt>
                <c:pt idx="255">
                  <c:v>24.7117843063251</c:v>
                </c:pt>
                <c:pt idx="256">
                  <c:v>24.5224612496735</c:v>
                </c:pt>
                <c:pt idx="257">
                  <c:v>24.3327290727399</c:v>
                </c:pt>
                <c:pt idx="258">
                  <c:v>24.142606641849</c:v>
                </c:pt>
                <c:pt idx="259">
                  <c:v>23.9521122346165</c:v>
                </c:pt>
                <c:pt idx="260">
                  <c:v>23.761263559393</c:v>
                </c:pt>
                <c:pt idx="261">
                  <c:v>23.5700777749584</c:v>
                </c:pt>
                <c:pt idx="262">
                  <c:v>23.3785715104049</c:v>
                </c:pt>
                <c:pt idx="263">
                  <c:v>23.1867608851537</c:v>
                </c:pt>
                <c:pt idx="264">
                  <c:v>22.9946615290561</c:v>
                </c:pt>
                <c:pt idx="265">
                  <c:v>22.8022886025343</c:v>
                </c:pt>
                <c:pt idx="266">
                  <c:v>22.6096568167261</c:v>
                </c:pt>
                <c:pt idx="267">
                  <c:v>22.4167804535973</c:v>
                </c:pt>
                <c:pt idx="268">
                  <c:v>22.2236733859957</c:v>
                </c:pt>
                <c:pt idx="269">
                  <c:v>22.0303490976213</c:v>
                </c:pt>
                <c:pt idx="270">
                  <c:v>21.8368207028938</c:v>
                </c:pt>
                <c:pt idx="271">
                  <c:v>21.6431009666991</c:v>
                </c:pt>
                <c:pt idx="272">
                  <c:v>21.449202324005</c:v>
                </c:pt>
                <c:pt idx="273">
                  <c:v>21.2551368993346</c:v>
                </c:pt>
                <c:pt idx="274">
                  <c:v>21.060916526091</c:v>
                </c:pt>
                <c:pt idx="275">
                  <c:v>20.8665527657301</c:v>
                </c:pt>
                <c:pt idx="276">
                  <c:v>20.6720569267812</c:v>
                </c:pt>
                <c:pt idx="277">
                  <c:v>20.4774400837142</c:v>
                </c:pt>
                <c:pt idx="278">
                  <c:v>20.2827130956584</c:v>
                </c:pt>
                <c:pt idx="279">
                  <c:v>20.0878866249767</c:v>
                </c:pt>
                <c:pt idx="280">
                  <c:v>19.8929711557034</c:v>
                </c:pt>
                <c:pt idx="281">
                  <c:v>19.6979770118518</c:v>
                </c:pt>
                <c:pt idx="282">
                  <c:v>19.502914375603</c:v>
                </c:pt>
                <c:pt idx="283">
                  <c:v>19.3077933053854</c:v>
                </c:pt>
                <c:pt idx="284">
                  <c:v>19.1126237538572</c:v>
                </c:pt>
                <c:pt idx="285">
                  <c:v>18.9174155858046</c:v>
                </c:pt>
                <c:pt idx="286">
                  <c:v>18.7221785959692</c:v>
                </c:pt>
                <c:pt idx="287">
                  <c:v>18.5269225268182</c:v>
                </c:pt>
                <c:pt idx="288">
                  <c:v>18.3316570862719</c:v>
                </c:pt>
                <c:pt idx="289">
                  <c:v>18.1363919654052</c:v>
                </c:pt>
                <c:pt idx="290">
                  <c:v>17.9411368561346</c:v>
                </c:pt>
                <c:pt idx="291">
                  <c:v>17.7459014689105</c:v>
                </c:pt>
                <c:pt idx="292">
                  <c:v>17.5506955504265</c:v>
                </c:pt>
                <c:pt idx="293">
                  <c:v>17.3555289013627</c:v>
                </c:pt>
                <c:pt idx="294">
                  <c:v>17.1604113941776</c:v>
                </c:pt>
                <c:pt idx="295">
                  <c:v>16.9653529909633</c:v>
                </c:pt>
                <c:pt idx="296">
                  <c:v>16.7703637613782</c:v>
                </c:pt>
                <c:pt idx="297">
                  <c:v>16.5754539006706</c:v>
                </c:pt>
                <c:pt idx="298">
                  <c:v>16.3806337478065</c:v>
                </c:pt>
                <c:pt idx="299">
                  <c:v>16.1859138037127</c:v>
                </c:pt>
                <c:pt idx="300">
                  <c:v>15.991304749648</c:v>
                </c:pt>
                <c:pt idx="301">
                  <c:v>15.7968174657104</c:v>
                </c:pt>
                <c:pt idx="302">
                  <c:v>15.6024630494893</c:v>
                </c:pt>
                <c:pt idx="303">
                  <c:v>15.4082528348714</c:v>
                </c:pt>
                <c:pt idx="304">
                  <c:v>15.2141984110037</c:v>
                </c:pt>
                <c:pt idx="305">
                  <c:v>15.0203116414175</c:v>
                </c:pt>
                <c:pt idx="306">
                  <c:v>14.8266046833166</c:v>
                </c:pt>
                <c:pt idx="307">
                  <c:v>14.6330900070266</c:v>
                </c:pt>
                <c:pt idx="308">
                  <c:v>14.4397804156047</c:v>
                </c:pt>
                <c:pt idx="309">
                  <c:v>14.2466890646016</c:v>
                </c:pt>
                <c:pt idx="310">
                  <c:v>14.0538294819685</c:v>
                </c:pt>
                <c:pt idx="311">
                  <c:v>13.8612155880973</c:v>
                </c:pt>
                <c:pt idx="312">
                  <c:v>13.6688617159772</c:v>
                </c:pt>
                <c:pt idx="313">
                  <c:v>13.4767826314497</c:v>
                </c:pt>
                <c:pt idx="314">
                  <c:v>13.2849935535388</c:v>
                </c:pt>
                <c:pt idx="315">
                  <c:v>13.0935101748284</c:v>
                </c:pt>
                <c:pt idx="316">
                  <c:v>12.9023486818547</c:v>
                </c:pt>
                <c:pt idx="317">
                  <c:v>12.7115257754777</c:v>
                </c:pt>
                <c:pt idx="318">
                  <c:v>12.5210586911872</c:v>
                </c:pt>
                <c:pt idx="319">
                  <c:v>12.330965219298</c:v>
                </c:pt>
                <c:pt idx="320">
                  <c:v>12.1412637249774</c:v>
                </c:pt>
                <c:pt idx="321">
                  <c:v>11.9519731680471</c:v>
                </c:pt>
                <c:pt idx="322">
                  <c:v>11.7631131224916</c:v>
                </c:pt>
                <c:pt idx="323">
                  <c:v>11.5747037955989</c:v>
                </c:pt>
                <c:pt idx="324">
                  <c:v>11.3867660466523</c:v>
                </c:pt>
                <c:pt idx="325">
                  <c:v>11.1993214050862</c:v>
                </c:pt>
                <c:pt idx="326">
                  <c:v>11.012392088007</c:v>
                </c:pt>
                <c:pt idx="327">
                  <c:v>10.826001016976</c:v>
                </c:pt>
                <c:pt idx="328">
                  <c:v>10.6401718339413</c:v>
                </c:pt>
                <c:pt idx="329">
                  <c:v>10.4549289161966</c:v>
                </c:pt>
                <c:pt idx="330">
                  <c:v>10.2702973902381</c:v>
                </c:pt>
                <c:pt idx="331">
                  <c:v>10.0863031443809</c:v>
                </c:pt>
                <c:pt idx="332">
                  <c:v>9.90297283998794</c:v>
                </c:pt>
                <c:pt idx="333">
                  <c:v>9.72033392115554</c:v>
                </c:pt>
                <c:pt idx="334">
                  <c:v>9.53841462269459</c:v>
                </c:pt>
                <c:pt idx="335">
                  <c:v>9.35724397623376</c:v>
                </c:pt>
                <c:pt idx="336">
                  <c:v>9.17685181426848</c:v>
                </c:pt>
                <c:pt idx="337">
                  <c:v>8.99726877196949</c:v>
                </c:pt>
                <c:pt idx="338">
                  <c:v>8.81852628656089</c:v>
                </c:pt>
                <c:pt idx="339">
                  <c:v>8.64065659407188</c:v>
                </c:pt>
                <c:pt idx="340">
                  <c:v>8.4636927232626</c:v>
                </c:pt>
                <c:pt idx="341">
                  <c:v>8.28766848652154</c:v>
                </c:pt>
                <c:pt idx="342">
                  <c:v>8.11261846753249</c:v>
                </c:pt>
                <c:pt idx="343">
                  <c:v>7.93857800550752</c:v>
                </c:pt>
                <c:pt idx="344">
                  <c:v>7.76558317578694</c:v>
                </c:pt>
                <c:pt idx="345">
                  <c:v>7.59367076661056</c:v>
                </c:pt>
                <c:pt idx="346">
                  <c:v>7.42287825187273</c:v>
                </c:pt>
                <c:pt idx="347">
                  <c:v>7.25324375968275</c:v>
                </c:pt>
                <c:pt idx="348">
                  <c:v>7.08480603656394</c:v>
                </c:pt>
                <c:pt idx="349">
                  <c:v>6.91760440714145</c:v>
                </c:pt>
                <c:pt idx="350">
                  <c:v>6.75167872918622</c:v>
                </c:pt>
                <c:pt idx="351">
                  <c:v>6.58706934390417</c:v>
                </c:pt>
                <c:pt idx="352">
                  <c:v>6.42381702138527</c:v>
                </c:pt>
                <c:pt idx="353">
                  <c:v>6.26196290115544</c:v>
                </c:pt>
                <c:pt idx="354">
                  <c:v>6.10154842780485</c:v>
                </c:pt>
                <c:pt idx="355">
                  <c:v>5.9426152817042</c:v>
                </c:pt>
                <c:pt idx="356">
                  <c:v>5.78520530485569</c:v>
                </c:pt>
                <c:pt idx="357">
                  <c:v>5.62936042196986</c:v>
                </c:pt>
                <c:pt idx="358">
                  <c:v>5.475122556903</c:v>
                </c:pt>
                <c:pt idx="359">
                  <c:v>5.32253354463708</c:v>
                </c:pt>
                <c:pt idx="360">
                  <c:v>5.17163503903345</c:v>
                </c:pt>
                <c:pt idx="361">
                  <c:v>5.02246841664442</c:v>
                </c:pt>
                <c:pt idx="362">
                  <c:v>4.87507467691672</c:v>
                </c:pt>
                <c:pt idx="363">
                  <c:v>4.72949433917641</c:v>
                </c:pt>
                <c:pt idx="364">
                  <c:v>4.58576733683653</c:v>
                </c:pt>
                <c:pt idx="365">
                  <c:v>4.44393290932163</c:v>
                </c:pt>
                <c:pt idx="366">
                  <c:v>4.30402949225252</c:v>
                </c:pt>
                <c:pt idx="367">
                  <c:v>4.16609460648539</c:v>
                </c:pt>
                <c:pt idx="368">
                  <c:v>4.03016474663995</c:v>
                </c:pt>
                <c:pt idx="369">
                  <c:v>3.89627526979546</c:v>
                </c:pt>
                <c:pt idx="370">
                  <c:v>3.76446028506574</c:v>
                </c:pt>
                <c:pt idx="371">
                  <c:v>3.63475254479393</c:v>
                </c:pt>
                <c:pt idx="372">
                  <c:v>3.50718333813006</c:v>
                </c:pt>
                <c:pt idx="373">
                  <c:v>3.38178238776856</c:v>
                </c:pt>
                <c:pt idx="374">
                  <c:v>3.25857775062739</c:v>
                </c:pt>
                <c:pt idx="375">
                  <c:v>3.13759572324971</c:v>
                </c:pt>
                <c:pt idx="376">
                  <c:v>3.01886075269489</c:v>
                </c:pt>
                <c:pt idx="377">
                  <c:v>2.90239535366426</c:v>
                </c:pt>
                <c:pt idx="378">
                  <c:v>2.78822003257627</c:v>
                </c:pt>
                <c:pt idx="379">
                  <c:v>2.67635321926318</c:v>
                </c:pt>
                <c:pt idx="380">
                  <c:v>2.56681120691364</c:v>
                </c:pt>
                <c:pt idx="381">
                  <c:v>2.45960810082383</c:v>
                </c:pt>
                <c:pt idx="382">
                  <c:v>2.35475577645565</c:v>
                </c:pt>
                <c:pt idx="383">
                  <c:v>2.25226384722385</c:v>
                </c:pt>
                <c:pt idx="384">
                  <c:v>2.15213964235597</c:v>
                </c:pt>
                <c:pt idx="385">
                  <c:v>2.0543881950813</c:v>
                </c:pt>
                <c:pt idx="386">
                  <c:v>1.95901224131789</c:v>
                </c:pt>
                <c:pt idx="387">
                  <c:v>1.86601222893354</c:v>
                </c:pt>
                <c:pt idx="388">
                  <c:v>1.77538633756433</c:v>
                </c:pt>
                <c:pt idx="389">
                  <c:v>1.68713050888226</c:v>
                </c:pt>
                <c:pt idx="390">
                  <c:v>1.60123848711248</c:v>
                </c:pt>
                <c:pt idx="391">
                  <c:v>1.51770186951317</c:v>
                </c:pt>
                <c:pt idx="392">
                  <c:v>1.43651016644845</c:v>
                </c:pt>
                <c:pt idx="393">
                  <c:v>1.35765087060697</c:v>
                </c:pt>
                <c:pt idx="394">
                  <c:v>1.281109534848</c:v>
                </c:pt>
                <c:pt idx="395">
                  <c:v>1.20686985809492</c:v>
                </c:pt>
                <c:pt idx="396">
                  <c:v>1.13491377863933</c:v>
                </c:pt>
                <c:pt idx="397">
                  <c:v>1.06522157417552</c:v>
                </c:pt>
                <c:pt idx="398">
                  <c:v>0.997771967847399</c:v>
                </c:pt>
                <c:pt idx="399">
                  <c:v>0.932542239562505</c:v>
                </c:pt>
                <c:pt idx="400">
                  <c:v>0.869508341812207</c:v>
                </c:pt>
                <c:pt idx="401">
                  <c:v>0.808645019227553</c:v>
                </c:pt>
                <c:pt idx="402">
                  <c:v>0.749925931100883</c:v>
                </c:pt>
                <c:pt idx="403">
                  <c:v>0.693323776115227</c:v>
                </c:pt>
                <c:pt idx="404">
                  <c:v>0.638810418537854</c:v>
                </c:pt>
                <c:pt idx="405">
                  <c:v>0.586357015160168</c:v>
                </c:pt>
                <c:pt idx="406">
                  <c:v>0.535934142298666</c:v>
                </c:pt>
                <c:pt idx="407">
                  <c:v>0.487511922204431</c:v>
                </c:pt>
                <c:pt idx="408">
                  <c:v>0.44106014827372</c:v>
                </c:pt>
                <c:pt idx="409">
                  <c:v>0.396548408493974</c:v>
                </c:pt>
                <c:pt idx="410">
                  <c:v>0.353946206609392</c:v>
                </c:pt>
                <c:pt idx="411">
                  <c:v>0.313223080537083</c:v>
                </c:pt>
                <c:pt idx="412">
                  <c:v>0.274348717618249</c:v>
                </c:pt>
                <c:pt idx="413">
                  <c:v>0.237293066337511</c:v>
                </c:pt>
                <c:pt idx="414">
                  <c:v>0.202026444194624</c:v>
                </c:pt>
                <c:pt idx="415">
                  <c:v>0.168519641460121</c:v>
                </c:pt>
                <c:pt idx="416">
                  <c:v>0.13674402059822</c:v>
                </c:pt>
                <c:pt idx="417">
                  <c:v>0.106671611178526</c:v>
                </c:pt>
                <c:pt idx="418">
                  <c:v>0.0782752001462449</c:v>
                </c:pt>
                <c:pt idx="419">
                  <c:v>0.0515284173569285</c:v>
                </c:pt>
                <c:pt idx="420">
                  <c:v>0.0264058163176139</c:v>
                </c:pt>
                <c:pt idx="421">
                  <c:v>0.00288295010916601</c:v>
                </c:pt>
                <c:pt idx="422">
                  <c:v>-0.0190635575070545</c:v>
                </c:pt>
                <c:pt idx="423">
                  <c:v>-0.0394559457707659</c:v>
                </c:pt>
                <c:pt idx="424">
                  <c:v>-0.0583152553432448</c:v>
                </c:pt>
                <c:pt idx="425">
                  <c:v>-0.0756612714014905</c:v>
                </c:pt>
                <c:pt idx="426">
                  <c:v>-0.091512471324933</c:v>
                </c:pt>
                <c:pt idx="427">
                  <c:v>-0.10588597688657</c:v>
                </c:pt>
                <c:pt idx="428">
                  <c:v>-0.118797510850166</c:v>
                </c:pt>
                <c:pt idx="429">
                  <c:v>-0.130261357874447</c:v>
                </c:pt>
                <c:pt idx="430">
                  <c:v>-0.140290329622045</c:v>
                </c:pt>
                <c:pt idx="431">
                  <c:v>-0.148895733974941</c:v>
                </c:pt>
                <c:pt idx="432">
                  <c:v>-0.156087348261317</c:v>
                </c:pt>
                <c:pt idx="433">
                  <c:v>-0.161873396405482</c:v>
                </c:pt>
                <c:pt idx="434">
                  <c:v>-0.166260529921821</c:v>
                </c:pt>
                <c:pt idx="435">
                  <c:v>-0.169253812683271</c:v>
                </c:pt>
                <c:pt idx="436">
                  <c:v>-0.170856709406858</c:v>
                </c:pt>
                <c:pt idx="437">
                  <c:v>-0.171071077811088</c:v>
                </c:pt>
                <c:pt idx="438">
                  <c:v>-0.169897164414759</c:v>
                </c:pt>
                <c:pt idx="439">
                  <c:v>-0.167333603959684</c:v>
                </c:pt>
                <c:pt idx="440">
                  <c:v>-0.163377422455465</c:v>
                </c:pt>
                <c:pt idx="441">
                  <c:v>-0.158024043858152</c:v>
                </c:pt>
                <c:pt idx="442">
                  <c:v>-0.151267300409992</c:v>
                </c:pt>
                <c:pt idx="443">
                  <c:v>-0.143099446680488</c:v>
                </c:pt>
                <c:pt idx="444">
                  <c:v>-0.13351117736236</c:v>
                </c:pt>
                <c:pt idx="445">
                  <c:v>-0.122491648888466</c:v>
                </c:pt>
                <c:pt idx="446">
                  <c:v>-0.110028504945688</c:v>
                </c:pt>
                <c:pt idx="447">
                  <c:v>-0.0961079059716268</c:v>
                </c:pt>
                <c:pt idx="448">
                  <c:v>-0.080714562726901</c:v>
                </c:pt>
                <c:pt idx="449">
                  <c:v>-0.0638317740406769</c:v>
                </c:pt>
                <c:pt idx="450">
                  <c:v>-0.0454414688308326</c:v>
                </c:pt>
                <c:pt idx="451">
                  <c:v>-0.0255242524989258</c:v>
                </c:pt>
                <c:pt idx="452">
                  <c:v>-0.00405945779838617</c:v>
                </c:pt>
                <c:pt idx="453">
                  <c:v>0.0189747997314295</c:v>
                </c:pt>
                <c:pt idx="454">
                  <c:v>0.0436015616829356</c:v>
                </c:pt>
                <c:pt idx="455">
                  <c:v>0.0698449619780874</c:v>
                </c:pt>
                <c:pt idx="456">
                  <c:v>0.0977301572923768</c:v>
                </c:pt>
                <c:pt idx="457">
                  <c:v>0.127283252670218</c:v>
                </c:pt>
                <c:pt idx="458">
                  <c:v>0.158531222320444</c:v>
                </c:pt>
                <c:pt idx="459">
                  <c:v>0.191501825608277</c:v>
                </c:pt>
                <c:pt idx="460">
                  <c:v>0.226223518291113</c:v>
                </c:pt>
                <c:pt idx="461">
                  <c:v>0.262725359080187</c:v>
                </c:pt>
                <c:pt idx="462">
                  <c:v>0.301036911648029</c:v>
                </c:pt>
                <c:pt idx="463">
                  <c:v>0.341188142243269</c:v>
                </c:pt>
                <c:pt idx="464">
                  <c:v>0.383209313118592</c:v>
                </c:pt>
                <c:pt idx="465">
                  <c:v>0.427130872023177</c:v>
                </c:pt>
                <c:pt idx="466">
                  <c:v>0.472983338061425</c:v>
                </c:pt>
                <c:pt idx="467">
                  <c:v>0.520797184267491</c:v>
                </c:pt>
                <c:pt idx="468">
                  <c:v>0.570602717297585</c:v>
                </c:pt>
                <c:pt idx="469">
                  <c:v>0.622429954691492</c:v>
                </c:pt>
                <c:pt idx="470">
                  <c:v>0.676308500205152</c:v>
                </c:pt>
                <c:pt idx="471">
                  <c:v>0.732267417764518</c:v>
                </c:pt>
                <c:pt idx="472">
                  <c:v>0.790335104635999</c:v>
                </c:pt>
                <c:pt idx="473">
                  <c:v>0.850539164452005</c:v>
                </c:pt>
                <c:pt idx="474">
                  <c:v>0.912906280767542</c:v>
                </c:pt>
                <c:pt idx="475">
                  <c:v>0.977462091856347</c:v>
                </c:pt>
                <c:pt idx="476">
                  <c:v>1.04423106748292</c:v>
                </c:pt>
                <c:pt idx="477">
                  <c:v>1.1132363884044</c:v>
                </c:pt>
                <c:pt idx="478">
                  <c:v>1.18449982937091</c:v>
                </c:pt>
                <c:pt idx="479">
                  <c:v>1.25804164639372</c:v>
                </c:pt>
                <c:pt idx="480">
                  <c:v>1.3338804690483</c:v>
                </c:pt>
                <c:pt idx="481">
                  <c:v>1.4120331985624</c:v>
                </c:pt>
                <c:pt idx="482">
                  <c:v>1.49251491241707</c:v>
                </c:pt>
                <c:pt idx="483">
                  <c:v>1.57533877615432</c:v>
                </c:pt>
                <c:pt idx="484">
                  <c:v>1.66051596304233</c:v>
                </c:pt>
                <c:pt idx="485">
                  <c:v>1.74805558219762</c:v>
                </c:pt>
                <c:pt idx="486">
                  <c:v>1.83796461570237</c:v>
                </c:pt>
                <c:pt idx="487">
                  <c:v>1.93024786518792</c:v>
                </c:pt>
                <c:pt idx="488">
                  <c:v>2.02490790827865</c:v>
                </c:pt>
                <c:pt idx="489">
                  <c:v>2.12194506520972</c:v>
                </c:pt>
                <c:pt idx="490">
                  <c:v>2.22135737584708</c:v>
                </c:pt>
                <c:pt idx="491">
                  <c:v>2.32314058724631</c:v>
                </c:pt>
                <c:pt idx="492">
                  <c:v>2.42728815179581</c:v>
                </c:pt>
                <c:pt idx="493">
                  <c:v>2.53379123589797</c:v>
                </c:pt>
                <c:pt idx="494">
                  <c:v>2.64263873904841</c:v>
                </c:pt>
                <c:pt idx="495">
                  <c:v>2.75381732308416</c:v>
                </c:pt>
                <c:pt idx="496">
                  <c:v>2.8673114512836</c:v>
                </c:pt>
                <c:pt idx="497">
                  <c:v>2.98310343692156</c:v>
                </c:pt>
                <c:pt idx="498">
                  <c:v>3.10117350080371</c:v>
                </c:pt>
                <c:pt idx="499">
                  <c:v>3.22149983723725</c:v>
                </c:pt>
                <c:pt idx="500">
                  <c:v>3.34405868783271</c:v>
                </c:pt>
                <c:pt idx="501">
                  <c:v>3.4688244224789</c:v>
                </c:pt>
                <c:pt idx="502">
                  <c:v>3.59576962678871</c:v>
                </c:pt>
                <c:pt idx="503">
                  <c:v>3.72486519527998</c:v>
                </c:pt>
                <c:pt idx="504">
                  <c:v>3.85608042953011</c:v>
                </c:pt>
                <c:pt idx="505">
                  <c:v>3.9893831405277</c:v>
                </c:pt>
                <c:pt idx="506">
                  <c:v>4.12473975443985</c:v>
                </c:pt>
                <c:pt idx="507">
                  <c:v>4.26211542101458</c:v>
                </c:pt>
                <c:pt idx="508">
                  <c:v>4.40147412385286</c:v>
                </c:pt>
                <c:pt idx="509">
                  <c:v>4.54277879179944</c:v>
                </c:pt>
                <c:pt idx="510">
                  <c:v>4.68599141073526</c:v>
                </c:pt>
                <c:pt idx="511">
                  <c:v>4.83107313507988</c:v>
                </c:pt>
                <c:pt idx="512">
                  <c:v>4.97798439835693</c:v>
                </c:pt>
                <c:pt idx="513">
                  <c:v>5.12668502221541</c:v>
                </c:pt>
                <c:pt idx="514">
                  <c:v>5.27713432334869</c:v>
                </c:pt>
                <c:pt idx="515">
                  <c:v>5.42929121780164</c:v>
                </c:pt>
                <c:pt idx="516">
                  <c:v>5.58311432220897</c:v>
                </c:pt>
                <c:pt idx="517">
                  <c:v>5.73856205155988</c:v>
                </c:pt>
                <c:pt idx="518">
                  <c:v>5.89559271313788</c:v>
                </c:pt>
                <c:pt idx="519">
                  <c:v>6.05416459633867</c:v>
                </c:pt>
                <c:pt idx="520">
                  <c:v>6.21423605811723</c:v>
                </c:pt>
                <c:pt idx="521">
                  <c:v>6.37576560387007</c:v>
                </c:pt>
                <c:pt idx="522">
                  <c:v>6.53871196360248</c:v>
                </c:pt>
                <c:pt idx="523">
                  <c:v>6.70303416327924</c:v>
                </c:pt>
                <c:pt idx="524">
                  <c:v>6.8686915912983</c:v>
                </c:pt>
                <c:pt idx="525">
                  <c:v>7.03564406006692</c:v>
                </c:pt>
                <c:pt idx="526">
                  <c:v>7.20385186269592</c:v>
                </c:pt>
                <c:pt idx="527">
                  <c:v>7.37327582486246</c:v>
                </c:pt>
                <c:pt idx="528">
                  <c:v>7.54387735191728</c:v>
                </c:pt>
                <c:pt idx="529">
                  <c:v>7.7156184713439</c:v>
                </c:pt>
                <c:pt idx="530">
                  <c:v>7.88846187069445</c:v>
                </c:pt>
                <c:pt idx="531">
                  <c:v>8.06237093115112</c:v>
                </c:pt>
                <c:pt idx="532">
                  <c:v>8.23730975687468</c:v>
                </c:pt>
                <c:pt idx="533">
                  <c:v>8.41324320031787</c:v>
                </c:pt>
                <c:pt idx="534">
                  <c:v>8.59013688368979</c:v>
                </c:pt>
                <c:pt idx="535">
                  <c:v>8.76795721676664</c:v>
                </c:pt>
                <c:pt idx="536">
                  <c:v>8.94667141124912</c:v>
                </c:pt>
                <c:pt idx="537">
                  <c:v>9.12624749187041</c:v>
                </c:pt>
                <c:pt idx="538">
                  <c:v>9.3066543044597</c:v>
                </c:pt>
                <c:pt idx="539">
                  <c:v>9.48786152116588</c:v>
                </c:pt>
                <c:pt idx="540">
                  <c:v>9.66983964304413</c:v>
                </c:pt>
                <c:pt idx="541">
                  <c:v>9.85256000020525</c:v>
                </c:pt>
              </c:numCache>
            </c:numRef>
          </c:yVal>
          <c:smooth val="1"/>
        </c:ser>
        <c:dLbls>
          <c:showLegendKey val="0"/>
          <c:showVal val="0"/>
          <c:showCatName val="0"/>
          <c:showSerName val="0"/>
          <c:showPercent val="0"/>
          <c:showBubbleSize val="0"/>
        </c:dLbls>
        <c:axId val="178856704"/>
        <c:axId val="178858624"/>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Loop_Modeling!$AR$19:$AR$560</c:f>
              <c:numCache>
                <c:formatCode>General</c:formatCode>
                <c:ptCount val="542"/>
                <c:pt idx="0">
                  <c:v>-0.698189889932502</c:v>
                </c:pt>
                <c:pt idx="1">
                  <c:v>-0.714451208211963</c:v>
                </c:pt>
                <c:pt idx="2">
                  <c:v>-0.731091185875217</c:v>
                </c:pt>
                <c:pt idx="3">
                  <c:v>-0.74811863478243</c:v>
                </c:pt>
                <c:pt idx="4">
                  <c:v>-0.76554257145855</c:v>
                </c:pt>
                <c:pt idx="5">
                  <c:v>-0.783372221818394</c:v>
                </c:pt>
                <c:pt idx="6">
                  <c:v>-0.801617025998815</c:v>
                </c:pt>
                <c:pt idx="7">
                  <c:v>-0.820286643300155</c:v>
                </c:pt>
                <c:pt idx="8">
                  <c:v>-0.839390957239396</c:v>
                </c:pt>
                <c:pt idx="9">
                  <c:v>-0.858940080717244</c:v>
                </c:pt>
                <c:pt idx="10">
                  <c:v>-0.87894436130166</c:v>
                </c:pt>
                <c:pt idx="11">
                  <c:v>-0.899414386630192</c:v>
                </c:pt>
                <c:pt idx="12">
                  <c:v>-0.920360989933579</c:v>
                </c:pt>
                <c:pt idx="13">
                  <c:v>-0.941795255683106</c:v>
                </c:pt>
                <c:pt idx="14">
                  <c:v>-0.963728525364373</c:v>
                </c:pt>
                <c:pt idx="15">
                  <c:v>-0.986172403379843</c:v>
                </c:pt>
                <c:pt idx="16">
                  <c:v>-1.00913876308295</c:v>
                </c:pt>
                <c:pt idx="17">
                  <c:v>-1.03263975294624</c:v>
                </c:pt>
                <c:pt idx="18">
                  <c:v>-1.05668780286648</c:v>
                </c:pt>
                <c:pt idx="19">
                  <c:v>-1.08129563060903</c:v>
                </c:pt>
                <c:pt idx="20">
                  <c:v>-1.10647624839459</c:v>
                </c:pt>
                <c:pt idx="21">
                  <c:v>-1.13224296963082</c:v>
                </c:pt>
                <c:pt idx="22">
                  <c:v>-1.15860941579171</c:v>
                </c:pt>
                <c:pt idx="23">
                  <c:v>-1.18558952344753</c:v>
                </c:pt>
                <c:pt idx="24">
                  <c:v>-1.21319755144796</c:v>
                </c:pt>
                <c:pt idx="25">
                  <c:v>-1.24144808826165</c:v>
                </c:pt>
                <c:pt idx="26">
                  <c:v>-1.27035605947451</c:v>
                </c:pt>
                <c:pt idx="27">
                  <c:v>-1.29993673545003</c:v>
                </c:pt>
                <c:pt idx="28">
                  <c:v>-1.33020573915437</c:v>
                </c:pt>
                <c:pt idx="29">
                  <c:v>-1.36117905414885</c:v>
                </c:pt>
                <c:pt idx="30">
                  <c:v>-1.3928730327531</c:v>
                </c:pt>
                <c:pt idx="31">
                  <c:v>-1.42530440438137</c:v>
                </c:pt>
                <c:pt idx="32">
                  <c:v>-1.45849028405495</c:v>
                </c:pt>
                <c:pt idx="33">
                  <c:v>-1.4924481810938</c:v>
                </c:pt>
                <c:pt idx="34">
                  <c:v>-1.52719600798957</c:v>
                </c:pt>
                <c:pt idx="35">
                  <c:v>-1.56275208946341</c:v>
                </c:pt>
                <c:pt idx="36">
                  <c:v>-1.59913517171093</c:v>
                </c:pt>
                <c:pt idx="37">
                  <c:v>-1.63636443183704</c:v>
                </c:pt>
                <c:pt idx="38">
                  <c:v>-1.67445948748343</c:v>
                </c:pt>
                <c:pt idx="39">
                  <c:v>-1.71344040665105</c:v>
                </c:pt>
                <c:pt idx="40">
                  <c:v>-1.75332771772014</c:v>
                </c:pt>
                <c:pt idx="41">
                  <c:v>-1.79414241967031</c:v>
                </c:pt>
                <c:pt idx="42">
                  <c:v>-1.83590599250279</c:v>
                </c:pt>
                <c:pt idx="43">
                  <c:v>-1.87864040786711</c:v>
                </c:pt>
                <c:pt idx="44">
                  <c:v>-1.92236813989423</c:v>
                </c:pt>
                <c:pt idx="45">
                  <c:v>-1.96711217623805</c:v>
                </c:pt>
                <c:pt idx="46">
                  <c:v>-2.01289602932707</c:v>
                </c:pt>
                <c:pt idx="47">
                  <c:v>-2.05974374782758</c:v>
                </c:pt>
                <c:pt idx="48">
                  <c:v>-2.10767992832008</c:v>
                </c:pt>
                <c:pt idx="49">
                  <c:v>-2.15672972718975</c:v>
                </c:pt>
                <c:pt idx="50">
                  <c:v>-2.20691887273209</c:v>
                </c:pt>
                <c:pt idx="51">
                  <c:v>-2.25827367747428</c:v>
                </c:pt>
                <c:pt idx="52">
                  <c:v>-2.31082105071264</c:v>
                </c:pt>
                <c:pt idx="53">
                  <c:v>-2.36458851126638</c:v>
                </c:pt>
                <c:pt idx="54">
                  <c:v>-2.41960420044692</c:v>
                </c:pt>
                <c:pt idx="55">
                  <c:v>-2.47589689524263</c:v>
                </c:pt>
                <c:pt idx="56">
                  <c:v>-2.53349602171748</c:v>
                </c:pt>
                <c:pt idx="57">
                  <c:v>-2.59243166862231</c:v>
                </c:pt>
                <c:pt idx="58">
                  <c:v>-2.65273460121648</c:v>
                </c:pt>
                <c:pt idx="59">
                  <c:v>-2.71443627529748</c:v>
                </c:pt>
                <c:pt idx="60">
                  <c:v>-2.77756885143538</c:v>
                </c:pt>
                <c:pt idx="61">
                  <c:v>-2.84216520940813</c:v>
                </c:pt>
                <c:pt idx="62">
                  <c:v>-2.90825896283361</c:v>
                </c:pt>
                <c:pt idx="63">
                  <c:v>-2.97588447399299</c:v>
                </c:pt>
                <c:pt idx="64">
                  <c:v>-3.04507686883949</c:v>
                </c:pt>
                <c:pt idx="65">
                  <c:v>-3.11587205218593</c:v>
                </c:pt>
                <c:pt idx="66">
                  <c:v>-3.18830672306302</c:v>
                </c:pt>
                <c:pt idx="67">
                  <c:v>-3.26241839023996</c:v>
                </c:pt>
                <c:pt idx="68">
                  <c:v>-3.33824538789745</c:v>
                </c:pt>
                <c:pt idx="69">
                  <c:v>-3.41582689144206</c:v>
                </c:pt>
                <c:pt idx="70">
                  <c:v>-3.49520293345021</c:v>
                </c:pt>
                <c:pt idx="71">
                  <c:v>-3.57641441972769</c:v>
                </c:pt>
                <c:pt idx="72">
                  <c:v>-3.6595031454703</c:v>
                </c:pt>
                <c:pt idx="73">
                  <c:v>-3.74451181150902</c:v>
                </c:pt>
                <c:pt idx="74">
                  <c:v>-3.83148404062151</c:v>
                </c:pt>
                <c:pt idx="75">
                  <c:v>-3.92046439389041</c:v>
                </c:pt>
                <c:pt idx="76">
                  <c:v>-4.0114983870864</c:v>
                </c:pt>
                <c:pt idx="77">
                  <c:v>-4.10463250705269</c:v>
                </c:pt>
                <c:pt idx="78">
                  <c:v>-4.19991422806466</c:v>
                </c:pt>
                <c:pt idx="79">
                  <c:v>-4.29739202813701</c:v>
                </c:pt>
                <c:pt idx="80">
                  <c:v>-4.39711540524737</c:v>
                </c:pt>
                <c:pt idx="81">
                  <c:v>-4.4991348934434</c:v>
                </c:pt>
                <c:pt idx="82">
                  <c:v>-4.60350207879732</c:v>
                </c:pt>
                <c:pt idx="83">
                  <c:v>-4.71026961516893</c:v>
                </c:pt>
                <c:pt idx="84">
                  <c:v>-4.81949123973495</c:v>
                </c:pt>
                <c:pt idx="85">
                  <c:v>-4.93122178823909</c:v>
                </c:pt>
                <c:pt idx="86">
                  <c:v>-5.04551720991407</c:v>
                </c:pt>
                <c:pt idx="87">
                  <c:v>-5.16243458202213</c:v>
                </c:pt>
                <c:pt idx="88">
                  <c:v>-5.28203212395788</c:v>
                </c:pt>
                <c:pt idx="89">
                  <c:v>-5.40436921085144</c:v>
                </c:pt>
                <c:pt idx="90">
                  <c:v>-5.52950638660676</c:v>
                </c:pt>
                <c:pt idx="91">
                  <c:v>-5.65750537630427</c:v>
                </c:pt>
                <c:pt idx="92">
                  <c:v>-5.78842909789212</c:v>
                </c:pt>
                <c:pt idx="93">
                  <c:v>-5.92234167308529</c:v>
                </c:pt>
                <c:pt idx="94">
                  <c:v>-6.05930843738559</c:v>
                </c:pt>
                <c:pt idx="95">
                  <c:v>-6.19939594913011</c:v>
                </c:pt>
                <c:pt idx="96">
                  <c:v>-6.34267199746858</c:v>
                </c:pt>
                <c:pt idx="97">
                  <c:v>-6.4892056091653</c:v>
                </c:pt>
                <c:pt idx="98">
                  <c:v>-6.63906705411122</c:v>
                </c:pt>
                <c:pt idx="99">
                  <c:v>-6.79232784942833</c:v>
                </c:pt>
                <c:pt idx="100">
                  <c:v>-6.949060762037</c:v>
                </c:pt>
                <c:pt idx="101">
                  <c:v>-7.1093398095519</c:v>
                </c:pt>
                <c:pt idx="102">
                  <c:v>-7.27324025936263</c:v>
                </c:pt>
                <c:pt idx="103">
                  <c:v>-7.44083862574549</c:v>
                </c:pt>
                <c:pt idx="104">
                  <c:v>-7.61221266484586</c:v>
                </c:pt>
                <c:pt idx="105">
                  <c:v>-7.78744136735959</c:v>
                </c:pt>
                <c:pt idx="106">
                  <c:v>-7.96660494873277</c:v>
                </c:pt>
                <c:pt idx="107">
                  <c:v>-8.14978483668858</c:v>
                </c:pt>
                <c:pt idx="108">
                  <c:v>-8.33706365588094</c:v>
                </c:pt>
                <c:pt idx="109">
                  <c:v>-8.52852520946258</c:v>
                </c:pt>
                <c:pt idx="110">
                  <c:v>-8.72425445734413</c:v>
                </c:pt>
                <c:pt idx="111">
                  <c:v>-8.92433749091195</c:v>
                </c:pt>
                <c:pt idx="112">
                  <c:v>-9.12886150395778</c:v>
                </c:pt>
                <c:pt idx="113">
                  <c:v>-9.33791475956547</c:v>
                </c:pt>
                <c:pt idx="114">
                  <c:v>-9.55158655268458</c:v>
                </c:pt>
                <c:pt idx="115">
                  <c:v>-9.76996716811374</c:v>
                </c:pt>
                <c:pt idx="116">
                  <c:v>-9.99314783360045</c:v>
                </c:pt>
                <c:pt idx="117">
                  <c:v>-10.2212206677568</c:v>
                </c:pt>
                <c:pt idx="118">
                  <c:v>-10.454278622478</c:v>
                </c:pt>
                <c:pt idx="119">
                  <c:v>-10.692415419538</c:v>
                </c:pt>
                <c:pt idx="120">
                  <c:v>-10.9357254810306</c:v>
                </c:pt>
                <c:pt idx="121">
                  <c:v>-11.1843038533127</c:v>
                </c:pt>
                <c:pt idx="122">
                  <c:v>-11.438246124096</c:v>
                </c:pt>
                <c:pt idx="123">
                  <c:v>-11.6976483323298</c:v>
                </c:pt>
                <c:pt idx="124">
                  <c:v>-11.9626068705088</c:v>
                </c:pt>
                <c:pt idx="125">
                  <c:v>-12.2332183790349</c:v>
                </c:pt>
                <c:pt idx="126">
                  <c:v>-12.5095796322595</c:v>
                </c:pt>
                <c:pt idx="127">
                  <c:v>-12.7917874158314</c:v>
                </c:pt>
                <c:pt idx="128">
                  <c:v>-13.0799383949751</c:v>
                </c:pt>
                <c:pt idx="129">
                  <c:v>-13.3741289733318</c:v>
                </c:pt>
                <c:pt idx="130">
                  <c:v>-13.6744551419936</c:v>
                </c:pt>
                <c:pt idx="131">
                  <c:v>-13.9810123183819</c:v>
                </c:pt>
                <c:pt idx="132">
                  <c:v>-14.2938951746223</c:v>
                </c:pt>
                <c:pt idx="133">
                  <c:v>-14.6131974550966</c:v>
                </c:pt>
                <c:pt idx="134">
                  <c:v>-14.9390117828646</c:v>
                </c:pt>
                <c:pt idx="135">
                  <c:v>-15.2714294546788</c:v>
                </c:pt>
                <c:pt idx="136">
                  <c:v>-15.6105402243483</c:v>
                </c:pt>
                <c:pt idx="137">
                  <c:v>-15.9564320742409</c:v>
                </c:pt>
                <c:pt idx="138">
                  <c:v>-16.3091909747565</c:v>
                </c:pt>
                <c:pt idx="139">
                  <c:v>-16.6689006316582</c:v>
                </c:pt>
                <c:pt idx="140">
                  <c:v>-17.0356422211984</c:v>
                </c:pt>
                <c:pt idx="141">
                  <c:v>-17.409494113045</c:v>
                </c:pt>
                <c:pt idx="142">
                  <c:v>-17.7905315810821</c:v>
                </c:pt>
                <c:pt idx="143">
                  <c:v>-18.1788265022403</c:v>
                </c:pt>
                <c:pt idx="144">
                  <c:v>-18.5744470435983</c:v>
                </c:pt>
                <c:pt idx="145">
                  <c:v>-18.977457338095</c:v>
                </c:pt>
                <c:pt idx="146">
                  <c:v>-19.3879171492944</c:v>
                </c:pt>
                <c:pt idx="147">
                  <c:v>-19.8058815257606</c:v>
                </c:pt>
                <c:pt idx="148">
                  <c:v>-20.2314004457208</c:v>
                </c:pt>
                <c:pt idx="149">
                  <c:v>-20.6645184528267</c:v>
                </c:pt>
                <c:pt idx="150">
                  <c:v>-21.105274283959</c:v>
                </c:pt>
                <c:pt idx="151">
                  <c:v>-21.5537004901697</c:v>
                </c:pt>
                <c:pt idx="152">
                  <c:v>-22.0098230520069</c:v>
                </c:pt>
                <c:pt idx="153">
                  <c:v>-22.4736609906258</c:v>
                </c:pt>
                <c:pt idx="154">
                  <c:v>-22.9452259762496</c:v>
                </c:pt>
                <c:pt idx="155">
                  <c:v>-23.4245219357179</c:v>
                </c:pt>
                <c:pt idx="156">
                  <c:v>-23.9115446610174</c:v>
                </c:pt>
                <c:pt idx="157">
                  <c:v>-24.4062814208674</c:v>
                </c:pt>
                <c:pt idx="158">
                  <c:v>-24.908710577591</c:v>
                </c:pt>
                <c:pt idx="159">
                  <c:v>-25.4188012116699</c:v>
                </c:pt>
                <c:pt idx="160">
                  <c:v>-25.936512756529</c:v>
                </c:pt>
                <c:pt idx="161">
                  <c:v>-26.4617946462465</c:v>
                </c:pt>
                <c:pt idx="162">
                  <c:v>-26.9945859790137</c:v>
                </c:pt>
                <c:pt idx="163">
                  <c:v>-27.5348151992835</c:v>
                </c:pt>
                <c:pt idx="164">
                  <c:v>-28.0823998016475</c:v>
                </c:pt>
                <c:pt idx="165">
                  <c:v>-28.637246059548</c:v>
                </c:pt>
                <c:pt idx="166">
                  <c:v>-29.1992487819872</c:v>
                </c:pt>
                <c:pt idx="167">
                  <c:v>-29.7682911014082</c:v>
                </c:pt>
                <c:pt idx="168">
                  <c:v>-30.3442442959141</c:v>
                </c:pt>
                <c:pt idx="169">
                  <c:v>-30.9269676489378</c:v>
                </c:pt>
                <c:pt idx="170">
                  <c:v>-31.5163083493954</c:v>
                </c:pt>
                <c:pt idx="171">
                  <c:v>-32.1121014352221</c:v>
                </c:pt>
                <c:pt idx="172">
                  <c:v>-32.7141697830276</c:v>
                </c:pt>
                <c:pt idx="173">
                  <c:v>-33.3223241463944</c:v>
                </c:pt>
                <c:pt idx="174">
                  <c:v>-33.9363632450875</c:v>
                </c:pt>
                <c:pt idx="175">
                  <c:v>-34.5560739071469</c:v>
                </c:pt>
                <c:pt idx="176">
                  <c:v>-35.1812312654967</c:v>
                </c:pt>
                <c:pt idx="177">
                  <c:v>-35.8115990103202</c:v>
                </c:pt>
                <c:pt idx="178">
                  <c:v>-36.446929698037</c:v>
                </c:pt>
                <c:pt idx="179">
                  <c:v>-37.0869651172667</c:v>
                </c:pt>
                <c:pt idx="180">
                  <c:v>-37.7314367116811</c:v>
                </c:pt>
                <c:pt idx="181">
                  <c:v>-38.3800660591483</c:v>
                </c:pt>
                <c:pt idx="182">
                  <c:v>-39.0325654060444</c:v>
                </c:pt>
                <c:pt idx="183">
                  <c:v>-39.6886382550869</c:v>
                </c:pt>
                <c:pt idx="184">
                  <c:v>-40.3479800045001</c:v>
                </c:pt>
                <c:pt idx="185">
                  <c:v>-41.0102786358038</c:v>
                </c:pt>
                <c:pt idx="186">
                  <c:v>-41.6752154469961</c:v>
                </c:pt>
                <c:pt idx="187">
                  <c:v>-42.3424658274102</c:v>
                </c:pt>
                <c:pt idx="188">
                  <c:v>-43.0117000700662</c:v>
                </c:pt>
                <c:pt idx="189">
                  <c:v>-43.6825842169115</c:v>
                </c:pt>
                <c:pt idx="190">
                  <c:v>-44.3547809319683</c:v>
                </c:pt>
                <c:pt idx="191">
                  <c:v>-45.027950397083</c:v>
                </c:pt>
                <c:pt idx="192">
                  <c:v>-45.7017512247061</c:v>
                </c:pt>
                <c:pt idx="193">
                  <c:v>-46.3758413819289</c:v>
                </c:pt>
                <c:pt idx="194">
                  <c:v>-47.0498791198739</c:v>
                </c:pt>
                <c:pt idx="195">
                  <c:v>-47.7235239024666</c:v>
                </c:pt>
                <c:pt idx="196">
                  <c:v>-48.3964373286325</c:v>
                </c:pt>
                <c:pt idx="197">
                  <c:v>-49.0682840420353</c:v>
                </c:pt>
                <c:pt idx="198">
                  <c:v>-49.7387326226251</c:v>
                </c:pt>
                <c:pt idx="199">
                  <c:v>-50.407456454489</c:v>
                </c:pt>
                <c:pt idx="200">
                  <c:v>-51.074134564761</c:v>
                </c:pt>
                <c:pt idx="201">
                  <c:v>-51.7384524287007</c:v>
                </c:pt>
                <c:pt idx="202">
                  <c:v>-52.4001027364324</c:v>
                </c:pt>
                <c:pt idx="203">
                  <c:v>-53.0587861172648</c:v>
                </c:pt>
                <c:pt idx="204">
                  <c:v>-53.7142118179927</c:v>
                </c:pt>
                <c:pt idx="205">
                  <c:v>-54.3660983320693</c:v>
                </c:pt>
                <c:pt idx="206">
                  <c:v>-55.0141739770627</c:v>
                </c:pt>
                <c:pt idx="207">
                  <c:v>-55.6581774183387</c:v>
                </c:pt>
                <c:pt idx="208">
                  <c:v>-56.2978581374454</c:v>
                </c:pt>
                <c:pt idx="209">
                  <c:v>-56.9329768442029</c:v>
                </c:pt>
                <c:pt idx="210">
                  <c:v>-57.5633058320232</c:v>
                </c:pt>
                <c:pt idx="211">
                  <c:v>-58.1886292764793</c:v>
                </c:pt>
                <c:pt idx="212">
                  <c:v>-58.8087434776157</c:v>
                </c:pt>
                <c:pt idx="213">
                  <c:v>-59.4234570469418</c:v>
                </c:pt>
                <c:pt idx="214">
                  <c:v>-60.0325910404514</c:v>
                </c:pt>
                <c:pt idx="215">
                  <c:v>-60.6359790393869</c:v>
                </c:pt>
                <c:pt idx="216">
                  <c:v>-61.2334671807941</c:v>
                </c:pt>
                <c:pt idx="217">
                  <c:v>-61.8249141402017</c:v>
                </c:pt>
                <c:pt idx="218">
                  <c:v>-62.4101910690072</c:v>
                </c:pt>
                <c:pt idx="219">
                  <c:v>-62.9891814893434</c:v>
                </c:pt>
                <c:pt idx="220">
                  <c:v>-63.5617811493672</c:v>
                </c:pt>
                <c:pt idx="221">
                  <c:v>-64.1278978420261</c:v>
                </c:pt>
                <c:pt idx="222">
                  <c:v>-64.6874511904266</c:v>
                </c:pt>
                <c:pt idx="223">
                  <c:v>-65.2403724029869</c:v>
                </c:pt>
                <c:pt idx="224">
                  <c:v>-65.78660400154</c:v>
                </c:pt>
                <c:pt idx="225">
                  <c:v>-66.326099525547</c:v>
                </c:pt>
                <c:pt idx="226">
                  <c:v>-66.8588232155128</c:v>
                </c:pt>
                <c:pt idx="227">
                  <c:v>-67.3847496786197</c:v>
                </c:pt>
                <c:pt idx="228">
                  <c:v>-67.9038635394992</c:v>
                </c:pt>
                <c:pt idx="229">
                  <c:v>-68.4161590789375</c:v>
                </c:pt>
                <c:pt idx="230">
                  <c:v>-68.9216398631718</c:v>
                </c:pt>
                <c:pt idx="231">
                  <c:v>-69.4203183662981</c:v>
                </c:pt>
                <c:pt idx="232">
                  <c:v>-69.9122155881441</c:v>
                </c:pt>
                <c:pt idx="233">
                  <c:v>-70.3973606698081</c:v>
                </c:pt>
                <c:pt idx="234">
                  <c:v>-70.8757905088889</c:v>
                </c:pt>
                <c:pt idx="235">
                  <c:v>-71.3475493762703</c:v>
                </c:pt>
                <c:pt idx="236">
                  <c:v>-71.8126885361549</c:v>
                </c:pt>
                <c:pt idx="237">
                  <c:v>-72.2712658708731</c:v>
                </c:pt>
                <c:pt idx="238">
                  <c:v>-72.7233455118345</c:v>
                </c:pt>
                <c:pt idx="239">
                  <c:v>-73.1689974778298</c:v>
                </c:pt>
                <c:pt idx="240">
                  <c:v>-73.6082973217416</c:v>
                </c:pt>
                <c:pt idx="241">
                  <c:v>-74.0413257865773</c:v>
                </c:pt>
                <c:pt idx="242">
                  <c:v>-74.4681684716014</c:v>
                </c:pt>
                <c:pt idx="243">
                  <c:v>-74.8889155092151</c:v>
                </c:pt>
                <c:pt idx="244">
                  <c:v>-75.3036612531111</c:v>
                </c:pt>
                <c:pt idx="245">
                  <c:v>-75.7125039781215</c:v>
                </c:pt>
                <c:pt idx="246">
                  <c:v>-76.1155455920698</c:v>
                </c:pt>
                <c:pt idx="247">
                  <c:v>-76.5128913598485</c:v>
                </c:pt>
                <c:pt idx="248">
                  <c:v>-76.9046496398522</c:v>
                </c:pt>
                <c:pt idx="249">
                  <c:v>-77.2909316328237</c:v>
                </c:pt>
                <c:pt idx="250">
                  <c:v>-77.671851143095</c:v>
                </c:pt>
                <c:pt idx="251">
                  <c:v>-78.0475243521484</c:v>
                </c:pt>
                <c:pt idx="252">
                  <c:v>-78.4180696043609</c:v>
                </c:pt>
                <c:pt idx="253">
                  <c:v>-78.7836072047545</c:v>
                </c:pt>
                <c:pt idx="254">
                  <c:v>-79.1442592285235</c:v>
                </c:pt>
                <c:pt idx="255">
                  <c:v>-79.5001493420841</c:v>
                </c:pt>
                <c:pt idx="256">
                  <c:v>-79.8514026353484</c:v>
                </c:pt>
                <c:pt idx="257">
                  <c:v>-80.1981454649139</c:v>
                </c:pt>
                <c:pt idx="258">
                  <c:v>-80.5405053078223</c:v>
                </c:pt>
                <c:pt idx="259">
                  <c:v>-80.8786106255392</c:v>
                </c:pt>
                <c:pt idx="260">
                  <c:v>-81.2125907377814</c:v>
                </c:pt>
                <c:pt idx="261">
                  <c:v>-81.5425757058169</c:v>
                </c:pt>
                <c:pt idx="262">
                  <c:v>-81.8686962248504</c:v>
                </c:pt>
                <c:pt idx="263">
                  <c:v>-82.1910835251069</c:v>
                </c:pt>
                <c:pt idx="264">
                  <c:v>-82.5098692812209</c:v>
                </c:pt>
                <c:pt idx="265">
                  <c:v>-82.825185529542</c:v>
                </c:pt>
                <c:pt idx="266">
                  <c:v>-83.1371645929666</c:v>
                </c:pt>
                <c:pt idx="267">
                  <c:v>-83.4459390129133</c:v>
                </c:pt>
                <c:pt idx="268">
                  <c:v>-83.7516414880585</c:v>
                </c:pt>
                <c:pt idx="269">
                  <c:v>-84.0544048194602</c:v>
                </c:pt>
                <c:pt idx="270">
                  <c:v>-84.354361861701</c:v>
                </c:pt>
                <c:pt idx="271">
                  <c:v>-84.6516454796912</c:v>
                </c:pt>
                <c:pt idx="272">
                  <c:v>-84.9463885107768</c:v>
                </c:pt>
                <c:pt idx="273">
                  <c:v>-85.2387237318101</c:v>
                </c:pt>
                <c:pt idx="274">
                  <c:v>-85.5287838308466</c:v>
                </c:pt>
                <c:pt idx="275">
                  <c:v>-85.8167013831378</c:v>
                </c:pt>
                <c:pt idx="276">
                  <c:v>-86.1026088311035</c:v>
                </c:pt>
                <c:pt idx="277">
                  <c:v>-86.3866384679697</c:v>
                </c:pt>
                <c:pt idx="278">
                  <c:v>-86.6689224247698</c:v>
                </c:pt>
                <c:pt idx="279">
                  <c:v>-86.9495926604131</c:v>
                </c:pt>
                <c:pt idx="280">
                  <c:v>-87.2287809545315</c:v>
                </c:pt>
                <c:pt idx="281">
                  <c:v>-87.506618902823</c:v>
                </c:pt>
                <c:pt idx="282">
                  <c:v>-87.7832379146173</c:v>
                </c:pt>
                <c:pt idx="283">
                  <c:v>-88.058769212392</c:v>
                </c:pt>
                <c:pt idx="284">
                  <c:v>-88.3333438329776</c:v>
                </c:pt>
                <c:pt idx="285">
                  <c:v>-88.6070926301896</c:v>
                </c:pt>
                <c:pt idx="286">
                  <c:v>-88.8801462786337</c:v>
                </c:pt>
                <c:pt idx="287">
                  <c:v>-89.1526352784309</c:v>
                </c:pt>
                <c:pt idx="288">
                  <c:v>-89.4246899606139</c:v>
                </c:pt>
                <c:pt idx="289">
                  <c:v>-89.6964404929465</c:v>
                </c:pt>
                <c:pt idx="290">
                  <c:v>-89.9680168859226</c:v>
                </c:pt>
                <c:pt idx="291">
                  <c:v>-90.2395489986953</c:v>
                </c:pt>
                <c:pt idx="292">
                  <c:v>-90.5111665446955</c:v>
                </c:pt>
                <c:pt idx="293">
                  <c:v>-90.7829990966918</c:v>
                </c:pt>
                <c:pt idx="294">
                  <c:v>-91.0551760910435</c:v>
                </c:pt>
                <c:pt idx="295">
                  <c:v>-91.3278268309004</c:v>
                </c:pt>
                <c:pt idx="296">
                  <c:v>-91.6010804880944</c:v>
                </c:pt>
                <c:pt idx="297">
                  <c:v>-91.8750661034688</c:v>
                </c:pt>
                <c:pt idx="298">
                  <c:v>-92.1499125853859</c:v>
                </c:pt>
                <c:pt idx="299">
                  <c:v>-92.425748706148</c:v>
                </c:pt>
                <c:pt idx="300">
                  <c:v>-92.702703096063</c:v>
                </c:pt>
                <c:pt idx="301">
                  <c:v>-92.9809042348782</c:v>
                </c:pt>
                <c:pt idx="302">
                  <c:v>-93.2604804403021</c:v>
                </c:pt>
                <c:pt idx="303">
                  <c:v>-93.5415598533243</c:v>
                </c:pt>
                <c:pt idx="304">
                  <c:v>-93.8242704200385</c:v>
                </c:pt>
                <c:pt idx="305">
                  <c:v>-94.1087398696636</c:v>
                </c:pt>
                <c:pt idx="306">
                  <c:v>-94.3950956884548</c:v>
                </c:pt>
                <c:pt idx="307">
                  <c:v>-94.6834650891801</c:v>
                </c:pt>
                <c:pt idx="308">
                  <c:v>-94.9739749758383</c:v>
                </c:pt>
                <c:pt idx="309">
                  <c:v>-95.2667519032794</c:v>
                </c:pt>
                <c:pt idx="310">
                  <c:v>-95.561922031385</c:v>
                </c:pt>
                <c:pt idx="311">
                  <c:v>-95.8596110734515</c:v>
                </c:pt>
                <c:pt idx="312">
                  <c:v>-96.1599442384207</c:v>
                </c:pt>
                <c:pt idx="313">
                  <c:v>-96.4630461665839</c:v>
                </c:pt>
                <c:pt idx="314">
                  <c:v>-96.769040858389</c:v>
                </c:pt>
                <c:pt idx="315">
                  <c:v>-97.0780515959649</c:v>
                </c:pt>
                <c:pt idx="316">
                  <c:v>-97.3902008569823</c:v>
                </c:pt>
                <c:pt idx="317">
                  <c:v>-97.7056102204555</c:v>
                </c:pt>
                <c:pt idx="318">
                  <c:v>-98.0244002640973</c:v>
                </c:pt>
                <c:pt idx="319">
                  <c:v>-98.3466904528324</c:v>
                </c:pt>
                <c:pt idx="320">
                  <c:v>-98.6725990180776</c:v>
                </c:pt>
                <c:pt idx="321">
                  <c:v>-99.0022428274034</c:v>
                </c:pt>
                <c:pt idx="322">
                  <c:v>-99.3357372441936</c:v>
                </c:pt>
                <c:pt idx="323">
                  <c:v>-99.6731959769326</c:v>
                </c:pt>
                <c:pt idx="324">
                  <c:v>-100.014730917763</c:v>
                </c:pt>
                <c:pt idx="325">
                  <c:v>-100.360451969968</c:v>
                </c:pt>
                <c:pt idx="326">
                  <c:v>-100.710466864058</c:v>
                </c:pt>
                <c:pt idx="327">
                  <c:v>-101.064880962171</c:v>
                </c:pt>
                <c:pt idx="328">
                  <c:v>-101.423797050507</c:v>
                </c:pt>
                <c:pt idx="329">
                  <c:v>-101.787315119586</c:v>
                </c:pt>
                <c:pt idx="330">
                  <c:v>-102.155532132115</c:v>
                </c:pt>
                <c:pt idx="331">
                  <c:v>-102.528541778352</c:v>
                </c:pt>
                <c:pt idx="332">
                  <c:v>-102.906434218854</c:v>
                </c:pt>
                <c:pt idx="333">
                  <c:v>-103.289295814603</c:v>
                </c:pt>
                <c:pt idx="334">
                  <c:v>-103.677208844543</c:v>
                </c:pt>
                <c:pt idx="335">
                  <c:v>-104.070251210654</c:v>
                </c:pt>
                <c:pt idx="336">
                  <c:v>-104.468496130772</c:v>
                </c:pt>
                <c:pt idx="337">
                  <c:v>-104.872011819448</c:v>
                </c:pt>
                <c:pt idx="338">
                  <c:v>-105.280861157256</c:v>
                </c:pt>
                <c:pt idx="339">
                  <c:v>-105.69510134906</c:v>
                </c:pt>
                <c:pt idx="340">
                  <c:v>-106.114783571869</c:v>
                </c:pt>
                <c:pt idx="341">
                  <c:v>-106.539952613047</c:v>
                </c:pt>
                <c:pt idx="342">
                  <c:v>-106.970646499772</c:v>
                </c:pt>
                <c:pt idx="343">
                  <c:v>-107.406896120776</c:v>
                </c:pt>
                <c:pt idx="344">
                  <c:v>-107.848724841572</c:v>
                </c:pt>
                <c:pt idx="345">
                  <c:v>-108.296148114498</c:v>
                </c:pt>
                <c:pt idx="346">
                  <c:v>-108.749173085096</c:v>
                </c:pt>
                <c:pt idx="347">
                  <c:v>-109.207798196499</c:v>
                </c:pt>
                <c:pt idx="348">
                  <c:v>-109.672012793668</c:v>
                </c:pt>
                <c:pt idx="349">
                  <c:v>-110.141796729483</c:v>
                </c:pt>
                <c:pt idx="350">
                  <c:v>-110.617119974877</c:v>
                </c:pt>
                <c:pt idx="351">
                  <c:v>-111.097942235343</c:v>
                </c:pt>
                <c:pt idx="352">
                  <c:v>-111.58421257632</c:v>
                </c:pt>
                <c:pt idx="353">
                  <c:v>-112.0758690601</c:v>
                </c:pt>
                <c:pt idx="354">
                  <c:v>-112.572838397042</c:v>
                </c:pt>
                <c:pt idx="355">
                  <c:v>-113.075035613998</c:v>
                </c:pt>
                <c:pt idx="356">
                  <c:v>-113.582363742955</c:v>
                </c:pt>
                <c:pt idx="357">
                  <c:v>-114.094713533003</c:v>
                </c:pt>
                <c:pt idx="358">
                  <c:v>-114.61196318875</c:v>
                </c:pt>
                <c:pt idx="359">
                  <c:v>-115.133978138395</c:v>
                </c:pt>
                <c:pt idx="360">
                  <c:v>-115.660610834614</c:v>
                </c:pt>
                <c:pt idx="361">
                  <c:v>-116.191700591423</c:v>
                </c:pt>
                <c:pt idx="362">
                  <c:v>-116.72707346007</c:v>
                </c:pt>
                <c:pt idx="363">
                  <c:v>-117.266542146939</c:v>
                </c:pt>
                <c:pt idx="364">
                  <c:v>-117.809905976259</c:v>
                </c:pt>
                <c:pt idx="365">
                  <c:v>-118.356950900232</c:v>
                </c:pt>
                <c:pt idx="366">
                  <c:v>-118.907449558971</c:v>
                </c:pt>
                <c:pt idx="367">
                  <c:v>-119.461161392327</c:v>
                </c:pt>
                <c:pt idx="368">
                  <c:v>-120.017832805379</c:v>
                </c:pt>
                <c:pt idx="369">
                  <c:v>-120.577197389001</c:v>
                </c:pt>
                <c:pt idx="370">
                  <c:v>-121.138976196503</c:v>
                </c:pt>
                <c:pt idx="371">
                  <c:v>-121.702878076905</c:v>
                </c:pt>
                <c:pt idx="372">
                  <c:v>-122.268600064957</c:v>
                </c:pt>
                <c:pt idx="373">
                  <c:v>-122.835827827491</c:v>
                </c:pt>
                <c:pt idx="374">
                  <c:v>-123.404236165201</c:v>
                </c:pt>
                <c:pt idx="375">
                  <c:v>-123.973489568421</c:v>
                </c:pt>
                <c:pt idx="376">
                  <c:v>-124.543242824913</c:v>
                </c:pt>
                <c:pt idx="377">
                  <c:v>-125.113141677194</c:v>
                </c:pt>
                <c:pt idx="378">
                  <c:v>-125.682823526359</c:v>
                </c:pt>
                <c:pt idx="379">
                  <c:v>-126.251918178919</c:v>
                </c:pt>
                <c:pt idx="380">
                  <c:v>-126.820048632636</c:v>
                </c:pt>
                <c:pt idx="381">
                  <c:v>-127.386831896967</c:v>
                </c:pt>
                <c:pt idx="382">
                  <c:v>-127.951879843284</c:v>
                </c:pt>
                <c:pt idx="383">
                  <c:v>-128.514800079743</c:v>
                </c:pt>
                <c:pt idx="384">
                  <c:v>-129.075196845345</c:v>
                </c:pt>
                <c:pt idx="385">
                  <c:v>-129.63267191756</c:v>
                </c:pt>
                <c:pt idx="386">
                  <c:v>-130.186825527693</c:v>
                </c:pt>
                <c:pt idx="387">
                  <c:v>-130.73725727811</c:v>
                </c:pt>
                <c:pt idx="388">
                  <c:v>-131.283567055412</c:v>
                </c:pt>
                <c:pt idx="389">
                  <c:v>-131.825355933737</c:v>
                </c:pt>
                <c:pt idx="390">
                  <c:v>-132.36222706245</c:v>
                </c:pt>
                <c:pt idx="391">
                  <c:v>-132.893786532731</c:v>
                </c:pt>
                <c:pt idx="392">
                  <c:v>-133.419644217811</c:v>
                </c:pt>
                <c:pt idx="393">
                  <c:v>-133.93941458192</c:v>
                </c:pt>
                <c:pt idx="394">
                  <c:v>-134.452717453412</c:v>
                </c:pt>
                <c:pt idx="395">
                  <c:v>-134.959178757941</c:v>
                </c:pt>
                <c:pt idx="396">
                  <c:v>-135.458431208038</c:v>
                </c:pt>
                <c:pt idx="397">
                  <c:v>-135.950114945923</c:v>
                </c:pt>
                <c:pt idx="398">
                  <c:v>-136.433878136919</c:v>
                </c:pt>
                <c:pt idx="399">
                  <c:v>-136.909377511363</c:v>
                </c:pt>
                <c:pt idx="400">
                  <c:v>-137.376278853444</c:v>
                </c:pt>
                <c:pt idx="401">
                  <c:v>-137.83425743597</c:v>
                </c:pt>
                <c:pt idx="402">
                  <c:v>-138.282998400548</c:v>
                </c:pt>
                <c:pt idx="403">
                  <c:v>-138.722197083217</c:v>
                </c:pt>
                <c:pt idx="404">
                  <c:v>-139.151559286056</c:v>
                </c:pt>
                <c:pt idx="405">
                  <c:v>-139.570801495743</c:v>
                </c:pt>
                <c:pt idx="406">
                  <c:v>-139.979651050483</c:v>
                </c:pt>
                <c:pt idx="407">
                  <c:v>-140.37784625712</c:v>
                </c:pt>
                <c:pt idx="408">
                  <c:v>-140.765136460593</c:v>
                </c:pt>
                <c:pt idx="409">
                  <c:v>-141.141282068224</c:v>
                </c:pt>
                <c:pt idx="410">
                  <c:v>-141.506054531583</c:v>
                </c:pt>
                <c:pt idx="411">
                  <c:v>-141.859236288909</c:v>
                </c:pt>
                <c:pt idx="412">
                  <c:v>-142.200620671258</c:v>
                </c:pt>
                <c:pt idx="413">
                  <c:v>-142.530011775673</c:v>
                </c:pt>
                <c:pt idx="414">
                  <c:v>-142.847224308791</c:v>
                </c:pt>
                <c:pt idx="415">
                  <c:v>-143.152083404357</c:v>
                </c:pt>
                <c:pt idx="416">
                  <c:v>-143.444424418142</c:v>
                </c:pt>
                <c:pt idx="417">
                  <c:v>-143.724092703766</c:v>
                </c:pt>
                <c:pt idx="418">
                  <c:v>-143.990943372878</c:v>
                </c:pt>
                <c:pt idx="419">
                  <c:v>-144.244841043094</c:v>
                </c:pt>
                <c:pt idx="420">
                  <c:v>-144.485659577007</c:v>
                </c:pt>
                <c:pt idx="421">
                  <c:v>-144.713281815458</c:v>
                </c:pt>
                <c:pt idx="422">
                  <c:v>-144.927599308177</c:v>
                </c:pt>
                <c:pt idx="423">
                  <c:v>-145.128512044697</c:v>
                </c:pt>
                <c:pt idx="424">
                  <c:v>-145.315928188363</c:v>
                </c:pt>
                <c:pt idx="425">
                  <c:v>-145.489763816039</c:v>
                </c:pt>
                <c:pt idx="426">
                  <c:v>-145.649942665994</c:v>
                </c:pt>
                <c:pt idx="427">
                  <c:v>-145.796395896232</c:v>
                </c:pt>
                <c:pt idx="428">
                  <c:v>-145.929061855392</c:v>
                </c:pt>
                <c:pt idx="429">
                  <c:v>-146.047885868143</c:v>
                </c:pt>
                <c:pt idx="430">
                  <c:v>-146.152820036821</c:v>
                </c:pt>
                <c:pt idx="431">
                  <c:v>-146.243823060884</c:v>
                </c:pt>
                <c:pt idx="432">
                  <c:v>-146.320860075583</c:v>
                </c:pt>
                <c:pt idx="433">
                  <c:v>-146.383902511052</c:v>
                </c:pt>
                <c:pt idx="434">
                  <c:v>-146.432927972878</c:v>
                </c:pt>
                <c:pt idx="435">
                  <c:v>-146.467920144999</c:v>
                </c:pt>
                <c:pt idx="436">
                  <c:v>-146.488868715647</c:v>
                </c:pt>
                <c:pt idx="437">
                  <c:v>-146.495769326849</c:v>
                </c:pt>
                <c:pt idx="438">
                  <c:v>-146.488623547856</c:v>
                </c:pt>
                <c:pt idx="439">
                  <c:v>-146.46743887269</c:v>
                </c:pt>
                <c:pt idx="440">
                  <c:v>-146.432228741835</c:v>
                </c:pt>
                <c:pt idx="441">
                  <c:v>-146.383012587928</c:v>
                </c:pt>
                <c:pt idx="442">
                  <c:v>-146.319815905159</c:v>
                </c:pt>
                <c:pt idx="443">
                  <c:v>-146.242670341885</c:v>
                </c:pt>
                <c:pt idx="444">
                  <c:v>-146.151613815831</c:v>
                </c:pt>
                <c:pt idx="445">
                  <c:v>-146.04669065105</c:v>
                </c:pt>
                <c:pt idx="446">
                  <c:v>-145.927951735678</c:v>
                </c:pt>
                <c:pt idx="447">
                  <c:v>-145.795454699296</c:v>
                </c:pt>
                <c:pt idx="448">
                  <c:v>-145.649264108579</c:v>
                </c:pt>
                <c:pt idx="449">
                  <c:v>-145.489451679722</c:v>
                </c:pt>
                <c:pt idx="450">
                  <c:v>-145.316096505929</c:v>
                </c:pt>
                <c:pt idx="451">
                  <c:v>-145.129285298114</c:v>
                </c:pt>
                <c:pt idx="452">
                  <c:v>-144.929112636749</c:v>
                </c:pt>
                <c:pt idx="453">
                  <c:v>-144.715681232634</c:v>
                </c:pt>
                <c:pt idx="454">
                  <c:v>-144.489102194178</c:v>
                </c:pt>
                <c:pt idx="455">
                  <c:v>-144.249495298628</c:v>
                </c:pt>
                <c:pt idx="456">
                  <c:v>-143.996989264495</c:v>
                </c:pt>
                <c:pt idx="457">
                  <c:v>-143.7317220223</c:v>
                </c:pt>
                <c:pt idx="458">
                  <c:v>-143.453840980582</c:v>
                </c:pt>
                <c:pt idx="459">
                  <c:v>-143.163503284029</c:v>
                </c:pt>
                <c:pt idx="460">
                  <c:v>-142.860876060433</c:v>
                </c:pt>
                <c:pt idx="461">
                  <c:v>-142.546136653105</c:v>
                </c:pt>
                <c:pt idx="462">
                  <c:v>-142.219472835315</c:v>
                </c:pt>
                <c:pt idx="463">
                  <c:v>-141.881083003261</c:v>
                </c:pt>
                <c:pt idx="464">
                  <c:v>-141.531176344074</c:v>
                </c:pt>
                <c:pt idx="465">
                  <c:v>-141.16997297538</c:v>
                </c:pt>
                <c:pt idx="466">
                  <c:v>-140.797704052974</c:v>
                </c:pt>
                <c:pt idx="467">
                  <c:v>-140.414611843282</c:v>
                </c:pt>
                <c:pt idx="468">
                  <c:v>-140.020949757398</c:v>
                </c:pt>
                <c:pt idx="469">
                  <c:v>-139.616982343638</c:v>
                </c:pt>
                <c:pt idx="470">
                  <c:v>-139.202985235819</c:v>
                </c:pt>
                <c:pt idx="471">
                  <c:v>-138.779245054656</c:v>
                </c:pt>
                <c:pt idx="472">
                  <c:v>-138.34605926005</c:v>
                </c:pt>
                <c:pt idx="473">
                  <c:v>-137.903735952307</c:v>
                </c:pt>
                <c:pt idx="474">
                  <c:v>-137.452593620764</c:v>
                </c:pt>
                <c:pt idx="475">
                  <c:v>-136.992960838709</c:v>
                </c:pt>
                <c:pt idx="476">
                  <c:v>-136.525175903901</c:v>
                </c:pt>
                <c:pt idx="477">
                  <c:v>-136.049586424542</c:v>
                </c:pt>
                <c:pt idx="478">
                  <c:v>-135.566548851007</c:v>
                </c:pt>
                <c:pt idx="479">
                  <c:v>-135.07642795419</c:v>
                </c:pt>
                <c:pt idx="480">
                  <c:v>-134.579596251876</c:v>
                </c:pt>
                <c:pt idx="481">
                  <c:v>-134.076433385047</c:v>
                </c:pt>
                <c:pt idx="482">
                  <c:v>-133.567325446625</c:v>
                </c:pt>
                <c:pt idx="483">
                  <c:v>-133.052664265637</c:v>
                </c:pt>
                <c:pt idx="484">
                  <c:v>-132.532846650303</c:v>
                </c:pt>
                <c:pt idx="485">
                  <c:v>-132.00827359405</c:v>
                </c:pt>
                <c:pt idx="486">
                  <c:v>-131.479349448843</c:v>
                </c:pt>
                <c:pt idx="487">
                  <c:v>-130.946481070669</c:v>
                </c:pt>
                <c:pt idx="488">
                  <c:v>-130.410076942322</c:v>
                </c:pt>
                <c:pt idx="489">
                  <c:v>-129.870546278922</c:v>
                </c:pt>
                <c:pt idx="490">
                  <c:v>-129.32829812183</c:v>
                </c:pt>
                <c:pt idx="491">
                  <c:v>-128.783740426776</c:v>
                </c:pt>
                <c:pt idx="492">
                  <c:v>-128.237279152078</c:v>
                </c:pt>
                <c:pt idx="493">
                  <c:v>-127.689317352874</c:v>
                </c:pt>
                <c:pt idx="494">
                  <c:v>-127.140254287187</c:v>
                </c:pt>
                <c:pt idx="495">
                  <c:v>-126.590484539558</c:v>
                </c:pt>
                <c:pt idx="496">
                  <c:v>-126.040397167737</c:v>
                </c:pt>
                <c:pt idx="497">
                  <c:v>-125.490374877683</c:v>
                </c:pt>
                <c:pt idx="498">
                  <c:v>-124.940793231815</c:v>
                </c:pt>
                <c:pt idx="499">
                  <c:v>-124.392019895027</c:v>
                </c:pt>
                <c:pt idx="500">
                  <c:v>-123.844413922627</c:v>
                </c:pt>
                <c:pt idx="501">
                  <c:v>-123.298325093854</c:v>
                </c:pt>
                <c:pt idx="502">
                  <c:v>-122.754093294133</c:v>
                </c:pt>
                <c:pt idx="503">
                  <c:v>-122.212047948756</c:v>
                </c:pt>
                <c:pt idx="504">
                  <c:v>-121.672507510117</c:v>
                </c:pt>
                <c:pt idx="505">
                  <c:v>-121.135779000093</c:v>
                </c:pt>
                <c:pt idx="506">
                  <c:v>-120.602157608671</c:v>
                </c:pt>
                <c:pt idx="507">
                  <c:v>-120.07192634936</c:v>
                </c:pt>
                <c:pt idx="508">
                  <c:v>-119.545355771459</c:v>
                </c:pt>
                <c:pt idx="509">
                  <c:v>-119.022703728759</c:v>
                </c:pt>
                <c:pt idx="510">
                  <c:v>-118.504215203806</c:v>
                </c:pt>
                <c:pt idx="511">
                  <c:v>-117.990122186452</c:v>
                </c:pt>
                <c:pt idx="512">
                  <c:v>-117.480643605031</c:v>
                </c:pt>
                <c:pt idx="513">
                  <c:v>-116.97598530817</c:v>
                </c:pt>
                <c:pt idx="514">
                  <c:v>-116.476340094933</c:v>
                </c:pt>
                <c:pt idx="515">
                  <c:v>-115.981887790774</c:v>
                </c:pt>
                <c:pt idx="516">
                  <c:v>-115.492795366534</c:v>
                </c:pt>
                <c:pt idx="517">
                  <c:v>-115.009217097579</c:v>
                </c:pt>
                <c:pt idx="518">
                  <c:v>-114.531294760029</c:v>
                </c:pt>
                <c:pt idx="519">
                  <c:v>-114.059157860961</c:v>
                </c:pt>
                <c:pt idx="520">
                  <c:v>-113.592923899423</c:v>
                </c:pt>
                <c:pt idx="521">
                  <c:v>-113.132698655059</c:v>
                </c:pt>
                <c:pt idx="522">
                  <c:v>-112.678576501211</c:v>
                </c:pt>
                <c:pt idx="523">
                  <c:v>-112.230640739363</c:v>
                </c:pt>
                <c:pt idx="524">
                  <c:v>-111.788963951911</c:v>
                </c:pt>
                <c:pt idx="525">
                  <c:v>-111.353608370307</c:v>
                </c:pt>
                <c:pt idx="526">
                  <c:v>-110.924626255773</c:v>
                </c:pt>
                <c:pt idx="527">
                  <c:v>-110.502060289876</c:v>
                </c:pt>
                <c:pt idx="528">
                  <c:v>-110.085943972444</c:v>
                </c:pt>
                <c:pt idx="529">
                  <c:v>-109.676302024409</c:v>
                </c:pt>
                <c:pt idx="530">
                  <c:v>-109.273150793376</c:v>
                </c:pt>
                <c:pt idx="531">
                  <c:v>-108.876498659842</c:v>
                </c:pt>
                <c:pt idx="532">
                  <c:v>-108.486346442175</c:v>
                </c:pt>
                <c:pt idx="533">
                  <c:v>-108.102687798626</c:v>
                </c:pt>
                <c:pt idx="534">
                  <c:v>-107.725509624833</c:v>
                </c:pt>
                <c:pt idx="535">
                  <c:v>-107.354792445395</c:v>
                </c:pt>
                <c:pt idx="536">
                  <c:v>-106.990510798302</c:v>
                </c:pt>
                <c:pt idx="537">
                  <c:v>-106.632633611125</c:v>
                </c:pt>
                <c:pt idx="538">
                  <c:v>-106.281124568031</c:v>
                </c:pt>
                <c:pt idx="539">
                  <c:v>-105.93594246682</c:v>
                </c:pt>
                <c:pt idx="540">
                  <c:v>-105.597041565318</c:v>
                </c:pt>
                <c:pt idx="541">
                  <c:v>-105.26437191657</c:v>
                </c:pt>
              </c:numCache>
            </c:numRef>
          </c:yVal>
          <c:smooth val="1"/>
        </c:ser>
        <c:dLbls>
          <c:showLegendKey val="0"/>
          <c:showVal val="0"/>
          <c:showCatName val="0"/>
          <c:showSerName val="0"/>
          <c:showPercent val="0"/>
          <c:showBubbleSize val="0"/>
        </c:dLbls>
        <c:axId val="178862336"/>
        <c:axId val="178860800"/>
      </c:scatterChart>
      <c:valAx>
        <c:axId val="178856704"/>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8624"/>
        <c:crosses val="autoZero"/>
        <c:crossBetween val="midCat"/>
      </c:valAx>
      <c:valAx>
        <c:axId val="178858624"/>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6704"/>
        <c:crosses val="autoZero"/>
        <c:crossBetween val="midCat"/>
        <c:majorUnit val="20"/>
        <c:minorUnit val="10"/>
      </c:valAx>
      <c:valAx>
        <c:axId val="17886233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0800"/>
        <c:crosses val="autoZero"/>
        <c:crossBetween val="midCat"/>
      </c:valAx>
      <c:valAx>
        <c:axId val="178860800"/>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2336"/>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642237c-f052-44fa-acdb-ac797fb65b45}"/>
      </c:ext>
    </c:extLst>
  </c:chart>
  <c:txPr>
    <a:bodyPr/>
    <a:lstStyle/>
    <a:p>
      <a:pPr>
        <a:defRPr lang="pl-PL"/>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DCM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Loop_Modeling!$BJ$19:$BJ$560</c:f>
              <c:numCache>
                <c:formatCode>0.000</c:formatCode>
                <c:ptCount val="542"/>
                <c:pt idx="0">
                  <c:v>67.1187455440935</c:v>
                </c:pt>
                <c:pt idx="1">
                  <c:v>66.918767149455</c:v>
                </c:pt>
                <c:pt idx="2">
                  <c:v>66.7187897725961</c:v>
                </c:pt>
                <c:pt idx="3">
                  <c:v>66.5188134614401</c:v>
                </c:pt>
                <c:pt idx="4">
                  <c:v>66.3188382661645</c:v>
                </c:pt>
                <c:pt idx="5">
                  <c:v>66.118864239307</c:v>
                </c:pt>
                <c:pt idx="6">
                  <c:v>65.9188914358762</c:v>
                </c:pt>
                <c:pt idx="7">
                  <c:v>65.7189199134679</c:v>
                </c:pt>
                <c:pt idx="8">
                  <c:v>65.5189497323859</c:v>
                </c:pt>
                <c:pt idx="9">
                  <c:v>65.3189809557699</c:v>
                </c:pt>
                <c:pt idx="10">
                  <c:v>65.1190136497277</c:v>
                </c:pt>
                <c:pt idx="11">
                  <c:v>64.9190478834747</c:v>
                </c:pt>
                <c:pt idx="12">
                  <c:v>64.7190837294797</c:v>
                </c:pt>
                <c:pt idx="13">
                  <c:v>64.5191212636172</c:v>
                </c:pt>
                <c:pt idx="14">
                  <c:v>64.319160565327</c:v>
                </c:pt>
                <c:pt idx="15">
                  <c:v>64.1192017177815</c:v>
                </c:pt>
                <c:pt idx="16">
                  <c:v>63.9192448080602</c:v>
                </c:pt>
                <c:pt idx="17">
                  <c:v>63.7192899273325</c:v>
                </c:pt>
                <c:pt idx="18">
                  <c:v>63.5193371710496</c:v>
                </c:pt>
                <c:pt idx="19">
                  <c:v>63.3193866391444</c:v>
                </c:pt>
                <c:pt idx="20">
                  <c:v>63.1194384362414</c:v>
                </c:pt>
                <c:pt idx="21">
                  <c:v>62.9194926718756</c:v>
                </c:pt>
                <c:pt idx="22">
                  <c:v>62.7195494607229</c:v>
                </c:pt>
                <c:pt idx="23">
                  <c:v>62.519608922839</c:v>
                </c:pt>
                <c:pt idx="24">
                  <c:v>62.3196711839121</c:v>
                </c:pt>
                <c:pt idx="25">
                  <c:v>62.1197363755243</c:v>
                </c:pt>
                <c:pt idx="26">
                  <c:v>61.9198046354277</c:v>
                </c:pt>
                <c:pt idx="27">
                  <c:v>61.719876107832</c:v>
                </c:pt>
                <c:pt idx="28">
                  <c:v>61.5199509437049</c:v>
                </c:pt>
                <c:pt idx="29">
                  <c:v>61.3200293010876</c:v>
                </c:pt>
                <c:pt idx="30">
                  <c:v>61.1201113454236</c:v>
                </c:pt>
                <c:pt idx="31">
                  <c:v>60.9201972499036</c:v>
                </c:pt>
                <c:pt idx="32">
                  <c:v>60.7202871958256</c:v>
                </c:pt>
                <c:pt idx="33">
                  <c:v>60.5203813729717</c:v>
                </c:pt>
                <c:pt idx="34">
                  <c:v>60.3204799800024</c:v>
                </c:pt>
                <c:pt idx="35">
                  <c:v>60.1205832248682</c:v>
                </c:pt>
                <c:pt idx="36">
                  <c:v>59.9206913252408</c:v>
                </c:pt>
                <c:pt idx="37">
                  <c:v>59.7208045089637</c:v>
                </c:pt>
                <c:pt idx="38">
                  <c:v>59.5209230145229</c:v>
                </c:pt>
                <c:pt idx="39">
                  <c:v>59.3210470915399</c:v>
                </c:pt>
                <c:pt idx="40">
                  <c:v>59.1211770012855</c:v>
                </c:pt>
                <c:pt idx="41">
                  <c:v>58.9213130172191</c:v>
                </c:pt>
                <c:pt idx="42">
                  <c:v>58.7214554255498</c:v>
                </c:pt>
                <c:pt idx="43">
                  <c:v>58.5216045258251</c:v>
                </c:pt>
                <c:pt idx="44">
                  <c:v>58.3217606315441</c:v>
                </c:pt>
                <c:pt idx="45">
                  <c:v>58.1219240708005</c:v>
                </c:pt>
                <c:pt idx="46">
                  <c:v>57.9220951869515</c:v>
                </c:pt>
                <c:pt idx="47">
                  <c:v>57.7222743393193</c:v>
                </c:pt>
                <c:pt idx="48">
                  <c:v>57.5224619039222</c:v>
                </c:pt>
                <c:pt idx="49">
                  <c:v>57.3226582742384</c:v>
                </c:pt>
                <c:pt idx="50">
                  <c:v>57.1228638620046</c:v>
                </c:pt>
                <c:pt idx="51">
                  <c:v>56.923079098048</c:v>
                </c:pt>
                <c:pt idx="52">
                  <c:v>56.723304433157</c:v>
                </c:pt>
                <c:pt idx="53">
                  <c:v>56.5235403389885</c:v>
                </c:pt>
                <c:pt idx="54">
                  <c:v>56.3237873090155</c:v>
                </c:pt>
                <c:pt idx="55">
                  <c:v>56.1240458595156</c:v>
                </c:pt>
                <c:pt idx="56">
                  <c:v>55.924316530603</c:v>
                </c:pt>
                <c:pt idx="57">
                  <c:v>55.724599887304</c:v>
                </c:pt>
                <c:pt idx="58">
                  <c:v>55.5248965206797</c:v>
                </c:pt>
                <c:pt idx="59">
                  <c:v>55.3252070489957</c:v>
                </c:pt>
                <c:pt idx="60">
                  <c:v>55.1255321189425</c:v>
                </c:pt>
                <c:pt idx="61">
                  <c:v>54.9258724069069</c:v>
                </c:pt>
                <c:pt idx="62">
                  <c:v>54.7262286202969</c:v>
                </c:pt>
                <c:pt idx="63">
                  <c:v>54.526601498922</c:v>
                </c:pt>
                <c:pt idx="64">
                  <c:v>54.3269918164312</c:v>
                </c:pt>
                <c:pt idx="65">
                  <c:v>54.1274003818099</c:v>
                </c:pt>
                <c:pt idx="66">
                  <c:v>53.9278280409381</c:v>
                </c:pt>
                <c:pt idx="67">
                  <c:v>53.7282756782121</c:v>
                </c:pt>
                <c:pt idx="68">
                  <c:v>53.5287442182316</c:v>
                </c:pt>
                <c:pt idx="69">
                  <c:v>53.3292346275541</c:v>
                </c:pt>
                <c:pt idx="70">
                  <c:v>53.1297479165185</c:v>
                </c:pt>
                <c:pt idx="71">
                  <c:v>52.9302851411411</c:v>
                </c:pt>
                <c:pt idx="72">
                  <c:v>52.730847405084</c:v>
                </c:pt>
                <c:pt idx="73">
                  <c:v>52.5314358616999</c:v>
                </c:pt>
                <c:pt idx="74">
                  <c:v>52.3320517161542</c:v>
                </c:pt>
                <c:pt idx="75">
                  <c:v>52.1326962276262</c:v>
                </c:pt>
                <c:pt idx="76">
                  <c:v>51.9333707115922</c:v>
                </c:pt>
                <c:pt idx="77">
                  <c:v>51.7340765421911</c:v>
                </c:pt>
                <c:pt idx="78">
                  <c:v>51.5348151546749</c:v>
                </c:pt>
                <c:pt idx="79">
                  <c:v>51.3355880479458</c:v>
                </c:pt>
                <c:pt idx="80">
                  <c:v>51.1363967871805</c:v>
                </c:pt>
                <c:pt idx="81">
                  <c:v>50.9372430065436</c:v>
                </c:pt>
                <c:pt idx="82">
                  <c:v>50.7381284119911</c:v>
                </c:pt>
                <c:pt idx="83">
                  <c:v>50.5390547841649</c:v>
                </c:pt>
                <c:pt idx="84">
                  <c:v>50.3400239813774</c:v>
                </c:pt>
                <c:pt idx="85">
                  <c:v>50.1410379426896</c:v>
                </c:pt>
                <c:pt idx="86">
                  <c:v>49.9420986910795</c:v>
                </c:pt>
                <c:pt idx="87">
                  <c:v>49.7432083367013</c:v>
                </c:pt>
                <c:pt idx="88">
                  <c:v>49.5443690802361</c:v>
                </c:pt>
                <c:pt idx="89">
                  <c:v>49.3455832163305</c:v>
                </c:pt>
                <c:pt idx="90">
                  <c:v>49.1468531371225</c:v>
                </c:pt>
                <c:pt idx="91">
                  <c:v>48.9481813358519</c:v>
                </c:pt>
                <c:pt idx="92">
                  <c:v>48.7495704105521</c:v>
                </c:pt>
                <c:pt idx="93">
                  <c:v>48.5510230678201</c:v>
                </c:pt>
                <c:pt idx="94">
                  <c:v>48.3525421266583</c:v>
                </c:pt>
                <c:pt idx="95">
                  <c:v>48.1541305223848</c:v>
                </c:pt>
                <c:pt idx="96">
                  <c:v>47.9557913106045</c:v>
                </c:pt>
                <c:pt idx="97">
                  <c:v>47.7575276712329</c:v>
                </c:pt>
                <c:pt idx="98">
                  <c:v>47.5593429125661</c:v>
                </c:pt>
                <c:pt idx="99">
                  <c:v>47.3612404753838</c:v>
                </c:pt>
                <c:pt idx="100">
                  <c:v>47.1632239370776</c:v>
                </c:pt>
                <c:pt idx="101">
                  <c:v>46.9652970157886</c:v>
                </c:pt>
                <c:pt idx="102">
                  <c:v>46.7674635745419</c:v>
                </c:pt>
                <c:pt idx="103">
                  <c:v>46.5697276253617</c:v>
                </c:pt>
                <c:pt idx="104">
                  <c:v>46.3720933333474</c:v>
                </c:pt>
                <c:pt idx="105">
                  <c:v>46.1745650206926</c:v>
                </c:pt>
                <c:pt idx="106">
                  <c:v>45.9771471706237</c:v>
                </c:pt>
                <c:pt idx="107">
                  <c:v>45.7798444312338</c:v>
                </c:pt>
                <c:pt idx="108">
                  <c:v>45.5826616191854</c:v>
                </c:pt>
                <c:pt idx="109">
                  <c:v>45.3856037232512</c:v>
                </c:pt>
                <c:pt idx="110">
                  <c:v>45.1886759076622</c:v>
                </c:pt>
                <c:pt idx="111">
                  <c:v>44.9918835152257</c:v>
                </c:pt>
                <c:pt idx="112">
                  <c:v>44.7952320701777</c:v>
                </c:pt>
                <c:pt idx="113">
                  <c:v>44.5987272807248</c:v>
                </c:pt>
                <c:pt idx="114">
                  <c:v>44.402375041233</c:v>
                </c:pt>
                <c:pt idx="115">
                  <c:v>44.2061814340142</c:v>
                </c:pt>
                <c:pt idx="116">
                  <c:v>44.0101527306573</c:v>
                </c:pt>
                <c:pt idx="117">
                  <c:v>43.8142953928493</c:v>
                </c:pt>
                <c:pt idx="118">
                  <c:v>43.6186160726253</c:v>
                </c:pt>
                <c:pt idx="119">
                  <c:v>43.4231216119853</c:v>
                </c:pt>
                <c:pt idx="120">
                  <c:v>43.2278190418077</c:v>
                </c:pt>
                <c:pt idx="121">
                  <c:v>43.0327155799906</c:v>
                </c:pt>
                <c:pt idx="122">
                  <c:v>42.837818628743</c:v>
                </c:pt>
                <c:pt idx="123">
                  <c:v>42.6431357709476</c:v>
                </c:pt>
                <c:pt idx="124">
                  <c:v>42.4486747655126</c:v>
                </c:pt>
                <c:pt idx="125">
                  <c:v>42.2544435416239</c:v>
                </c:pt>
                <c:pt idx="126">
                  <c:v>42.0604501918099</c:v>
                </c:pt>
                <c:pt idx="127">
                  <c:v>41.8667029637253</c:v>
                </c:pt>
                <c:pt idx="128">
                  <c:v>41.6732102505575</c:v>
                </c:pt>
                <c:pt idx="129">
                  <c:v>41.4799805799607</c:v>
                </c:pt>
                <c:pt idx="130">
                  <c:v>41.2870226014166</c:v>
                </c:pt>
                <c:pt idx="131">
                  <c:v>41.0943450719244</c:v>
                </c:pt>
                <c:pt idx="132">
                  <c:v>40.9019568399197</c:v>
                </c:pt>
                <c:pt idx="133">
                  <c:v>40.7098668273257</c:v>
                </c:pt>
                <c:pt idx="134">
                  <c:v>40.5180840096403</c:v>
                </c:pt>
                <c:pt idx="135">
                  <c:v>40.3266173939676</c:v>
                </c:pt>
                <c:pt idx="136">
                  <c:v>40.1354759949071</c:v>
                </c:pt>
                <c:pt idx="137">
                  <c:v>39.9446688082189</c:v>
                </c:pt>
                <c:pt idx="138">
                  <c:v>39.7542047821946</c:v>
                </c:pt>
                <c:pt idx="139">
                  <c:v>39.5640927866688</c:v>
                </c:pt>
                <c:pt idx="140">
                  <c:v>39.3743415796232</c:v>
                </c:pt>
                <c:pt idx="141">
                  <c:v>39.1849597713446</c:v>
                </c:pt>
                <c:pt idx="142">
                  <c:v>38.9959557861177</c:v>
                </c:pt>
                <c:pt idx="143">
                  <c:v>38.8073378214491</c:v>
                </c:pt>
                <c:pt idx="144">
                  <c:v>38.6191138048428</c:v>
                </c:pt>
                <c:pt idx="145">
                  <c:v>38.4312913481665</c:v>
                </c:pt>
                <c:pt idx="146">
                  <c:v>38.2438776996772</c:v>
                </c:pt>
                <c:pt idx="147">
                  <c:v>38.0568796937995</c:v>
                </c:pt>
                <c:pt idx="148">
                  <c:v>37.870303698782</c:v>
                </c:pt>
                <c:pt idx="149">
                  <c:v>37.6841555623866</c:v>
                </c:pt>
                <c:pt idx="150">
                  <c:v>37.4984405558016</c:v>
                </c:pt>
                <c:pt idx="151">
                  <c:v>37.3131633160039</c:v>
                </c:pt>
                <c:pt idx="152">
                  <c:v>37.1283277868323</c:v>
                </c:pt>
                <c:pt idx="153">
                  <c:v>36.9439371590704</c:v>
                </c:pt>
                <c:pt idx="154">
                  <c:v>36.7599938098776</c:v>
                </c:pt>
                <c:pt idx="155">
                  <c:v>36.5764992419417</c:v>
                </c:pt>
                <c:pt idx="156">
                  <c:v>36.3934540227661</c:v>
                </c:pt>
                <c:pt idx="157">
                  <c:v>36.2108577245377</c:v>
                </c:pt>
                <c:pt idx="158">
                  <c:v>36.0287088650555</c:v>
                </c:pt>
                <c:pt idx="159">
                  <c:v>35.8470048502307</c:v>
                </c:pt>
                <c:pt idx="160">
                  <c:v>35.6657419186949</c:v>
                </c:pt>
                <c:pt idx="161">
                  <c:v>35.4849150890736</c:v>
                </c:pt>
                <c:pt idx="162">
                  <c:v>35.3045181104998</c:v>
                </c:pt>
                <c:pt idx="163">
                  <c:v>35.1245434169519</c:v>
                </c:pt>
                <c:pt idx="164">
                  <c:v>34.9449820860008</c:v>
                </c:pt>
                <c:pt idx="165">
                  <c:v>34.7658238025495</c:v>
                </c:pt>
                <c:pt idx="166">
                  <c:v>34.58705682813</c:v>
                </c:pt>
                <c:pt idx="167">
                  <c:v>34.4086679763037</c:v>
                </c:pt>
                <c:pt idx="168">
                  <c:v>34.2306425946763</c:v>
                </c:pt>
                <c:pt idx="169">
                  <c:v>34.0529645539985</c:v>
                </c:pt>
                <c:pt idx="170">
                  <c:v>33.8756162447698</c:v>
                </c:pt>
                <c:pt idx="171">
                  <c:v>33.6985785817048</c:v>
                </c:pt>
                <c:pt idx="172">
                  <c:v>33.5218310163482</c:v>
                </c:pt>
                <c:pt idx="173">
                  <c:v>33.3453515580496</c:v>
                </c:pt>
                <c:pt idx="174">
                  <c:v>33.1691168034197</c:v>
                </c:pt>
                <c:pt idx="175">
                  <c:v>32.9931019743004</c:v>
                </c:pt>
                <c:pt idx="176">
                  <c:v>32.8172809641808</c:v>
                </c:pt>
                <c:pt idx="177">
                  <c:v>32.6416263928914</c:v>
                </c:pt>
                <c:pt idx="178">
                  <c:v>32.4661096693061</c:v>
                </c:pt>
                <c:pt idx="179">
                  <c:v>32.2907010616743</c:v>
                </c:pt>
                <c:pt idx="180">
                  <c:v>32.1153697751077</c:v>
                </c:pt>
                <c:pt idx="181">
                  <c:v>31.9400840356463</c:v>
                </c:pt>
                <c:pt idx="182">
                  <c:v>31.7648111802329</c:v>
                </c:pt>
                <c:pt idx="183">
                  <c:v>31.5895177518429</c:v>
                </c:pt>
                <c:pt idx="184">
                  <c:v>31.4141695989384</c:v>
                </c:pt>
                <c:pt idx="185">
                  <c:v>31.2387319783484</c:v>
                </c:pt>
                <c:pt idx="186">
                  <c:v>31.0631696606261</c:v>
                </c:pt>
                <c:pt idx="187">
                  <c:v>30.8874470368903</c:v>
                </c:pt>
                <c:pt idx="188">
                  <c:v>30.7115282261365</c:v>
                </c:pt>
                <c:pt idx="189">
                  <c:v>30.5353771819864</c:v>
                </c:pt>
                <c:pt idx="190">
                  <c:v>30.3589577978539</c:v>
                </c:pt>
                <c:pt idx="191">
                  <c:v>30.1822340095205</c:v>
                </c:pt>
                <c:pt idx="192">
                  <c:v>30.0051698941493</c:v>
                </c:pt>
                <c:pt idx="193">
                  <c:v>29.8277297648126</c:v>
                </c:pt>
                <c:pt idx="194">
                  <c:v>29.6498782596699</c:v>
                </c:pt>
                <c:pt idx="195">
                  <c:v>29.4715804250051</c:v>
                </c:pt>
                <c:pt idx="196">
                  <c:v>29.2928017914147</c:v>
                </c:pt>
                <c:pt idx="197">
                  <c:v>29.1135084425282</c:v>
                </c:pt>
                <c:pt idx="198">
                  <c:v>28.9336670757437</c:v>
                </c:pt>
                <c:pt idx="199">
                  <c:v>28.7532450545597</c:v>
                </c:pt>
                <c:pt idx="200">
                  <c:v>28.5722104521948</c:v>
                </c:pt>
                <c:pt idx="201">
                  <c:v>28.3905320862912</c:v>
                </c:pt>
                <c:pt idx="202">
                  <c:v>28.2081795446038</c:v>
                </c:pt>
                <c:pt idx="203">
                  <c:v>28.0251232016845</c:v>
                </c:pt>
                <c:pt idx="204">
                  <c:v>27.8413342266645</c:v>
                </c:pt>
                <c:pt idx="205">
                  <c:v>27.6567845823399</c:v>
                </c:pt>
                <c:pt idx="206">
                  <c:v>27.4714470158458</c:v>
                </c:pt>
                <c:pt idx="207">
                  <c:v>27.285295041291</c:v>
                </c:pt>
                <c:pt idx="208">
                  <c:v>27.0983029147914</c:v>
                </c:pt>
                <c:pt idx="209">
                  <c:v>26.9104456024088</c:v>
                </c:pt>
                <c:pt idx="210">
                  <c:v>26.7216987415504</c:v>
                </c:pt>
                <c:pt idx="211">
                  <c:v>26.5320385964307</c:v>
                </c:pt>
                <c:pt idx="212">
                  <c:v>26.341442008236</c:v>
                </c:pt>
                <c:pt idx="213">
                  <c:v>26.1498863406498</c:v>
                </c:pt>
                <c:pt idx="214">
                  <c:v>25.9573494214244</c:v>
                </c:pt>
                <c:pt idx="215">
                  <c:v>25.7638094806859</c:v>
                </c:pt>
                <c:pt idx="216">
                  <c:v>25.5692450866676</c:v>
                </c:pt>
                <c:pt idx="217">
                  <c:v>25.3736350795597</c:v>
                </c:pt>
                <c:pt idx="218">
                  <c:v>25.1769585041516</c:v>
                </c:pt>
                <c:pt idx="219">
                  <c:v>24.9791945419344</c:v>
                </c:pt>
                <c:pt idx="220">
                  <c:v>24.7803224433008</c:v>
                </c:pt>
                <c:pt idx="221">
                  <c:v>24.5803214604692</c:v>
                </c:pt>
                <c:pt idx="222">
                  <c:v>24.379170781722</c:v>
                </c:pt>
                <c:pt idx="223">
                  <c:v>24.1768494675265</c:v>
                </c:pt>
                <c:pt idx="224">
                  <c:v>23.9733363890769</c:v>
                </c:pt>
                <c:pt idx="225">
                  <c:v>23.76861016976</c:v>
                </c:pt>
                <c:pt idx="226">
                  <c:v>23.5626491300265</c:v>
                </c:pt>
                <c:pt idx="227">
                  <c:v>23.3554312361077</c:v>
                </c:pt>
                <c:pt idx="228">
                  <c:v>23.1469340529938</c:v>
                </c:pt>
                <c:pt idx="229">
                  <c:v>22.9371347020589</c:v>
                </c:pt>
                <c:pt idx="230">
                  <c:v>22.7260098236836</c:v>
                </c:pt>
                <c:pt idx="231">
                  <c:v>22.5135355452024</c:v>
                </c:pt>
                <c:pt idx="232">
                  <c:v>22.2996874544697</c:v>
                </c:pt>
                <c:pt idx="233">
                  <c:v>22.0844405793144</c:v>
                </c:pt>
                <c:pt idx="234">
                  <c:v>21.8677693731188</c:v>
                </c:pt>
                <c:pt idx="235">
                  <c:v>21.6496477067382</c:v>
                </c:pt>
                <c:pt idx="236">
                  <c:v>21.4300488669406</c:v>
                </c:pt>
                <c:pt idx="237">
                  <c:v>21.2089455615258</c:v>
                </c:pt>
                <c:pt idx="238">
                  <c:v>20.9863099312483</c:v>
                </c:pt>
                <c:pt idx="239">
                  <c:v>20.7621135686423</c:v>
                </c:pt>
                <c:pt idx="240">
                  <c:v>20.5363275438143</c:v>
                </c:pt>
                <c:pt idx="241">
                  <c:v>20.308922437239</c:v>
                </c:pt>
                <c:pt idx="242">
                  <c:v>20.0798683795569</c:v>
                </c:pt>
                <c:pt idx="243">
                  <c:v>19.8491350983403</c:v>
                </c:pt>
                <c:pt idx="244">
                  <c:v>19.6166919717527</c:v>
                </c:pt>
                <c:pt idx="245">
                  <c:v>19.3825080889914</c:v>
                </c:pt>
                <c:pt idx="246">
                  <c:v>19.146552317358</c:v>
                </c:pt>
                <c:pt idx="247">
                  <c:v>18.9087933757589</c:v>
                </c:pt>
                <c:pt idx="248">
                  <c:v>18.6691999143939</c:v>
                </c:pt>
                <c:pt idx="249">
                  <c:v>18.4277406003407</c:v>
                </c:pt>
                <c:pt idx="250">
                  <c:v>18.1843842086977</c:v>
                </c:pt>
                <c:pt idx="251">
                  <c:v>17.9390997188961</c:v>
                </c:pt>
                <c:pt idx="252">
                  <c:v>17.691856415743</c:v>
                </c:pt>
                <c:pt idx="253">
                  <c:v>17.4426239947054</c:v>
                </c:pt>
                <c:pt idx="254">
                  <c:v>17.1913726709009</c:v>
                </c:pt>
                <c:pt idx="255">
                  <c:v>16.9380732912049</c:v>
                </c:pt>
                <c:pt idx="256">
                  <c:v>16.6826974488478</c:v>
                </c:pt>
                <c:pt idx="257">
                  <c:v>16.4252175998239</c:v>
                </c:pt>
                <c:pt idx="258">
                  <c:v>16.1656071804033</c:v>
                </c:pt>
                <c:pt idx="259">
                  <c:v>15.9038407249981</c:v>
                </c:pt>
                <c:pt idx="260">
                  <c:v>15.6398939836076</c:v>
                </c:pt>
                <c:pt idx="261">
                  <c:v>15.3737440380482</c:v>
                </c:pt>
                <c:pt idx="262">
                  <c:v>15.1053694161531</c:v>
                </c:pt>
                <c:pt idx="263">
                  <c:v>14.834750203125</c:v>
                </c:pt>
                <c:pt idx="264">
                  <c:v>14.5618681492249</c:v>
                </c:pt>
                <c:pt idx="265">
                  <c:v>14.2867067729887</c:v>
                </c:pt>
                <c:pt idx="266">
                  <c:v>14.0092514591873</c:v>
                </c:pt>
                <c:pt idx="267">
                  <c:v>13.7294895507693</c:v>
                </c:pt>
                <c:pt idx="268">
                  <c:v>13.4474104340708</c:v>
                </c:pt>
                <c:pt idx="269">
                  <c:v>13.1630056166177</c:v>
                </c:pt>
                <c:pt idx="270">
                  <c:v>12.8762687969082</c:v>
                </c:pt>
                <c:pt idx="271">
                  <c:v>12.5871959256257</c:v>
                </c:pt>
                <c:pt idx="272">
                  <c:v>12.2957852578043</c:v>
                </c:pt>
                <c:pt idx="273">
                  <c:v>12.0020373955501</c:v>
                </c:pt>
                <c:pt idx="274">
                  <c:v>11.705955321006</c:v>
                </c:pt>
                <c:pt idx="275">
                  <c:v>11.4075444193348</c:v>
                </c:pt>
                <c:pt idx="276">
                  <c:v>11.1068124915928</c:v>
                </c:pt>
                <c:pt idx="277">
                  <c:v>10.8037697574532</c:v>
                </c:pt>
                <c:pt idx="278">
                  <c:v>10.498428847841</c:v>
                </c:pt>
                <c:pt idx="279">
                  <c:v>10.1908047876273</c:v>
                </c:pt>
                <c:pt idx="280">
                  <c:v>9.88091496862788</c:v>
                </c:pt>
                <c:pt idx="281">
                  <c:v>9.56877911323411</c:v>
                </c:pt>
                <c:pt idx="282">
                  <c:v>9.25441922908677</c:v>
                </c:pt>
                <c:pt idx="283">
                  <c:v>8.9378595552822</c:v>
                </c:pt>
                <c:pt idx="284">
                  <c:v>8.61912650066512</c:v>
                </c:pt>
                <c:pt idx="285">
                  <c:v>8.29824857482394</c:v>
                </c:pt>
                <c:pt idx="286">
                  <c:v>7.97525631245785</c:v>
                </c:pt>
                <c:pt idx="287">
                  <c:v>7.65018219182485</c:v>
                </c:pt>
                <c:pt idx="288">
                  <c:v>7.32306054801474</c:v>
                </c:pt>
                <c:pt idx="289">
                  <c:v>6.99392748181214</c:v>
                </c:pt>
                <c:pt idx="290">
                  <c:v>6.66282076493037</c:v>
                </c:pt>
                <c:pt idx="291">
                  <c:v>6.32977974240005</c:v>
                </c:pt>
                <c:pt idx="292">
                  <c:v>5.99484523288986</c:v>
                </c:pt>
                <c:pt idx="293">
                  <c:v>5.65805942772618</c:v>
                </c:pt>
                <c:pt idx="294">
                  <c:v>5.31946578935571</c:v>
                </c:pt>
                <c:pt idx="295">
                  <c:v>4.97910894996579</c:v>
                </c:pt>
                <c:pt idx="296">
                  <c:v>4.63703461094423</c:v>
                </c:pt>
                <c:pt idx="297">
                  <c:v>4.29328944381868</c:v>
                </c:pt>
                <c:pt idx="298">
                  <c:v>3.94792099327337</c:v>
                </c:pt>
                <c:pt idx="299">
                  <c:v>3.60097758278828</c:v>
                </c:pt>
                <c:pt idx="300">
                  <c:v>3.2525082234003</c:v>
                </c:pt>
                <c:pt idx="301">
                  <c:v>2.90256252602898</c:v>
                </c:pt>
                <c:pt idx="302">
                  <c:v>2.55119061775565</c:v>
                </c:pt>
                <c:pt idx="303">
                  <c:v>2.19844306239386</c:v>
                </c:pt>
                <c:pt idx="304">
                  <c:v>1.84437078563079</c:v>
                </c:pt>
                <c:pt idx="305">
                  <c:v>1.48902500496791</c:v>
                </c:pt>
                <c:pt idx="306">
                  <c:v>1.13245716464031</c:v>
                </c:pt>
                <c:pt idx="307">
                  <c:v>0.774718875640285</c:v>
                </c:pt>
                <c:pt idx="308">
                  <c:v>0.415861860926298</c:v>
                </c:pt>
                <c:pt idx="309">
                  <c:v>0.0559379058547654</c:v>
                </c:pt>
                <c:pt idx="310">
                  <c:v>-0.3050011861717</c:v>
                </c:pt>
                <c:pt idx="311">
                  <c:v>-0.666903632882284</c:v>
                </c:pt>
                <c:pt idx="312">
                  <c:v>-1.02971770722248</c:v>
                </c:pt>
                <c:pt idx="313">
                  <c:v>-1.39339176645371</c:v>
                </c:pt>
                <c:pt idx="314">
                  <c:v>-1.75787427641149</c:v>
                </c:pt>
                <c:pt idx="315">
                  <c:v>-2.123113831085</c:v>
                </c:pt>
                <c:pt idx="316">
                  <c:v>-2.48905916770972</c:v>
                </c:pt>
                <c:pt idx="317">
                  <c:v>-2.85565917758154</c:v>
                </c:pt>
                <c:pt idx="318">
                  <c:v>-3.22286291281975</c:v>
                </c:pt>
                <c:pt idx="319">
                  <c:v>-3.59061958932167</c:v>
                </c:pt>
                <c:pt idx="320">
                  <c:v>-3.95887858616414</c:v>
                </c:pt>
                <c:pt idx="321">
                  <c:v>-4.32758944171945</c:v>
                </c:pt>
                <c:pt idx="322">
                  <c:v>-4.69670184675968</c:v>
                </c:pt>
                <c:pt idx="323">
                  <c:v>-5.06616563483531</c:v>
                </c:pt>
                <c:pt idx="324">
                  <c:v>-5.43593077021636</c:v>
                </c:pt>
                <c:pt idx="325">
                  <c:v>-5.80594733369148</c:v>
                </c:pt>
                <c:pt idx="326">
                  <c:v>-6.17616550652347</c:v>
                </c:pt>
                <c:pt idx="327">
                  <c:v>-6.54653555286361</c:v>
                </c:pt>
                <c:pt idx="328">
                  <c:v>-6.91700780092898</c:v>
                </c:pt>
                <c:pt idx="329">
                  <c:v>-7.28753262324922</c:v>
                </c:pt>
                <c:pt idx="330">
                  <c:v>-7.65806041628935</c:v>
                </c:pt>
                <c:pt idx="331">
                  <c:v>-8.02854157975748</c:v>
                </c:pt>
                <c:pt idx="332">
                  <c:v>-8.39892649590557</c:v>
                </c:pt>
                <c:pt idx="333">
                  <c:v>-8.76916550913248</c:v>
                </c:pt>
                <c:pt idx="334">
                  <c:v>-9.13920890619675</c:v>
                </c:pt>
                <c:pt idx="335">
                  <c:v>-9.50900689734609</c:v>
                </c:pt>
                <c:pt idx="336">
                  <c:v>-9.87850959867129</c:v>
                </c:pt>
                <c:pt idx="337">
                  <c:v>-10.2476670159879</c:v>
                </c:pt>
                <c:pt idx="338">
                  <c:v>-10.6164290305478</c:v>
                </c:pt>
                <c:pt idx="339">
                  <c:v>-10.98474538688</c:v>
                </c:pt>
                <c:pt idx="340">
                  <c:v>-11.352565683055</c:v>
                </c:pt>
                <c:pt idx="341">
                  <c:v>-11.7198393636643</c:v>
                </c:pt>
                <c:pt idx="342">
                  <c:v>-12.0865157157974</c:v>
                </c:pt>
                <c:pt idx="343">
                  <c:v>-12.4525438682918</c:v>
                </c:pt>
                <c:pt idx="344">
                  <c:v>-12.8178727945268</c:v>
                </c:pt>
                <c:pt idx="345">
                  <c:v>-13.1824513190126</c:v>
                </c:pt>
                <c:pt idx="346">
                  <c:v>-13.5462281280215</c:v>
                </c:pt>
                <c:pt idx="347">
                  <c:v>-13.9091517844863</c:v>
                </c:pt>
                <c:pt idx="348">
                  <c:v>-14.2711707473793</c:v>
                </c:pt>
                <c:pt idx="349">
                  <c:v>-14.6322333957598</c:v>
                </c:pt>
                <c:pt idx="350">
                  <c:v>-14.9922880576586</c:v>
                </c:pt>
                <c:pt idx="351">
                  <c:v>-15.3512830439404</c:v>
                </c:pt>
                <c:pt idx="352">
                  <c:v>-15.7091666872572</c:v>
                </c:pt>
                <c:pt idx="353">
                  <c:v>-16.0658873861717</c:v>
                </c:pt>
                <c:pt idx="354">
                  <c:v>-16.4213936544986</c:v>
                </c:pt>
                <c:pt idx="355">
                  <c:v>-16.7756341758677</c:v>
                </c:pt>
                <c:pt idx="356">
                  <c:v>-17.1285578634771</c:v>
                </c:pt>
                <c:pt idx="357">
                  <c:v>-17.4801139249548</c:v>
                </c:pt>
                <c:pt idx="358">
                  <c:v>-17.8302519322064</c:v>
                </c:pt>
                <c:pt idx="359">
                  <c:v>-18.17892189607</c:v>
                </c:pt>
                <c:pt idx="360">
                  <c:v>-18.5260743455555</c:v>
                </c:pt>
                <c:pt idx="361">
                  <c:v>-18.8716604113844</c:v>
                </c:pt>
                <c:pt idx="362">
                  <c:v>-19.2156319135003</c:v>
                </c:pt>
                <c:pt idx="363">
                  <c:v>-19.5579414521592</c:v>
                </c:pt>
                <c:pt idx="364">
                  <c:v>-19.898542502158</c:v>
                </c:pt>
                <c:pt idx="365">
                  <c:v>-20.2373895097047</c:v>
                </c:pt>
                <c:pt idx="366">
                  <c:v>-20.5744379913837</c:v>
                </c:pt>
                <c:pt idx="367">
                  <c:v>-20.909644634619</c:v>
                </c:pt>
                <c:pt idx="368">
                  <c:v>-21.242967398995</c:v>
                </c:pt>
                <c:pt idx="369">
                  <c:v>-21.5743656177501</c:v>
                </c:pt>
                <c:pt idx="370">
                  <c:v>-21.9038000987288</c:v>
                </c:pt>
                <c:pt idx="371">
                  <c:v>-22.2312332240414</c:v>
                </c:pt>
                <c:pt idx="372">
                  <c:v>-22.5566290476645</c:v>
                </c:pt>
                <c:pt idx="373">
                  <c:v>-22.8799533901966</c:v>
                </c:pt>
                <c:pt idx="374">
                  <c:v>-23.2011739299791</c:v>
                </c:pt>
                <c:pt idx="375">
                  <c:v>-23.5202602897968</c:v>
                </c:pt>
                <c:pt idx="376">
                  <c:v>-23.8371841183797</c:v>
                </c:pt>
                <c:pt idx="377">
                  <c:v>-24.1519191659559</c:v>
                </c:pt>
                <c:pt idx="378">
                  <c:v>-24.4644413531308</c:v>
                </c:pt>
                <c:pt idx="379">
                  <c:v>-24.7747288324147</c:v>
                </c:pt>
                <c:pt idx="380">
                  <c:v>-25.0827620417635</c:v>
                </c:pt>
                <c:pt idx="381">
                  <c:v>-25.388523749564</c:v>
                </c:pt>
                <c:pt idx="382">
                  <c:v>-25.6919990905585</c:v>
                </c:pt>
                <c:pt idx="383">
                  <c:v>-25.9931755922743</c:v>
                </c:pt>
                <c:pt idx="384">
                  <c:v>-26.2920431916115</c:v>
                </c:pt>
                <c:pt idx="385">
                  <c:v>-26.5885942413234</c:v>
                </c:pt>
                <c:pt idx="386">
                  <c:v>-26.8828235062113</c:v>
                </c:pt>
                <c:pt idx="387">
                  <c:v>-27.1747281489522</c:v>
                </c:pt>
                <c:pt idx="388">
                  <c:v>-27.4643077055692</c:v>
                </c:pt>
                <c:pt idx="389">
                  <c:v>-27.7515640506437</c:v>
                </c:pt>
                <c:pt idx="390">
                  <c:v>-28.0365013524638</c:v>
                </c:pt>
                <c:pt idx="391">
                  <c:v>-28.3191260183878</c:v>
                </c:pt>
                <c:pt idx="392">
                  <c:v>-28.5994466307878</c:v>
                </c:pt>
                <c:pt idx="393">
                  <c:v>-28.8774738740112</c:v>
                </c:pt>
                <c:pt idx="394">
                  <c:v>-29.1532204528752</c:v>
                </c:pt>
                <c:pt idx="395">
                  <c:v>-29.4267010032667</c:v>
                </c:pt>
                <c:pt idx="396">
                  <c:v>-29.697931995478</c:v>
                </c:pt>
                <c:pt idx="397">
                  <c:v>-29.9669316309551</c:v>
                </c:pt>
                <c:pt idx="398">
                  <c:v>-30.2337197331676</c:v>
                </c:pt>
                <c:pt idx="399">
                  <c:v>-30.4983176333439</c:v>
                </c:pt>
                <c:pt idx="400">
                  <c:v>-30.7607480518245</c:v>
                </c:pt>
                <c:pt idx="401">
                  <c:v>-31.0210349758007</c:v>
                </c:pt>
                <c:pt idx="402">
                  <c:v>-31.2792035342023</c:v>
                </c:pt>
                <c:pt idx="403">
                  <c:v>-31.5352798704896</c:v>
                </c:pt>
                <c:pt idx="404">
                  <c:v>-31.7892910140866</c:v>
                </c:pt>
                <c:pt idx="405">
                  <c:v>-32.041264751171</c:v>
                </c:pt>
                <c:pt idx="406">
                  <c:v>-32.2912294954997</c:v>
                </c:pt>
                <c:pt idx="407">
                  <c:v>-32.5392141599208</c:v>
                </c:pt>
                <c:pt idx="408">
                  <c:v>-32.785248029174</c:v>
                </c:pt>
                <c:pt idx="409">
                  <c:v>-33.0293606345416</c:v>
                </c:pt>
                <c:pt idx="410">
                  <c:v>-33.2715816308633</c:v>
                </c:pt>
                <c:pt idx="411">
                  <c:v>-33.5119406763785</c:v>
                </c:pt>
                <c:pt idx="412">
                  <c:v>-33.7504673158108</c:v>
                </c:pt>
                <c:pt idx="413">
                  <c:v>-33.9871908670558</c:v>
                </c:pt>
                <c:pt idx="414">
                  <c:v>-34.2221403117869</c:v>
                </c:pt>
                <c:pt idx="415">
                  <c:v>-34.455344190243</c:v>
                </c:pt>
                <c:pt idx="416">
                  <c:v>-34.6868305004139</c:v>
                </c:pt>
                <c:pt idx="417">
                  <c:v>-34.916626601797</c:v>
                </c:pt>
                <c:pt idx="418">
                  <c:v>-35.1447591238545</c:v>
                </c:pt>
                <c:pt idx="419">
                  <c:v>-35.3712538792614</c:v>
                </c:pt>
                <c:pt idx="420">
                  <c:v>-35.5961357820018</c:v>
                </c:pt>
                <c:pt idx="421">
                  <c:v>-35.8194287703339</c:v>
                </c:pt>
                <c:pt idx="422">
                  <c:v>-36.0411557346208</c:v>
                </c:pt>
                <c:pt idx="423">
                  <c:v>-36.261338449996</c:v>
                </c:pt>
                <c:pt idx="424">
                  <c:v>-36.4799975138128</c:v>
                </c:pt>
                <c:pt idx="425">
                  <c:v>-36.6971522878102</c:v>
                </c:pt>
                <c:pt idx="426">
                  <c:v>-36.9128208449123</c:v>
                </c:pt>
                <c:pt idx="427">
                  <c:v>-37.1270199205722</c:v>
                </c:pt>
                <c:pt idx="428">
                  <c:v>-37.3397648685586</c:v>
                </c:pt>
                <c:pt idx="429">
                  <c:v>-37.5510696210857</c:v>
                </c:pt>
                <c:pt idx="430">
                  <c:v>-37.7609466531826</c:v>
                </c:pt>
                <c:pt idx="431">
                  <c:v>-37.969406951201</c:v>
                </c:pt>
                <c:pt idx="432">
                  <c:v>-38.1764599853673</c:v>
                </c:pt>
                <c:pt idx="433">
                  <c:v>-38.3821136862862</c:v>
                </c:pt>
                <c:pt idx="434">
                  <c:v>-38.5863744253185</c:v>
                </c:pt>
                <c:pt idx="435">
                  <c:v>-38.7892469987594</c:v>
                </c:pt>
                <c:pt idx="436">
                  <c:v>-38.9907346157613</c:v>
                </c:pt>
                <c:pt idx="437">
                  <c:v>-39.1908388899534</c:v>
                </c:pt>
                <c:pt idx="438">
                  <c:v>-39.389559834726</c:v>
                </c:pt>
                <c:pt idx="439">
                  <c:v>-39.5868958621624</c:v>
                </c:pt>
                <c:pt idx="440">
                  <c:v>-39.7828437856141</c:v>
                </c:pt>
                <c:pt idx="441">
                  <c:v>-39.9773988259312</c:v>
                </c:pt>
                <c:pt idx="442">
                  <c:v>-40.1705546213746</c:v>
                </c:pt>
                <c:pt idx="443">
                  <c:v>-40.362303241247</c:v>
                </c:pt>
                <c:pt idx="444">
                  <c:v>-40.5526352032983</c:v>
                </c:pt>
                <c:pt idx="445">
                  <c:v>-40.7415394949696</c:v>
                </c:pt>
                <c:pt idx="446">
                  <c:v>-40.9290035985495</c:v>
                </c:pt>
                <c:pt idx="447">
                  <c:v>-41.1150135203311</c:v>
                </c:pt>
                <c:pt idx="448">
                  <c:v>-41.2995538238579</c:v>
                </c:pt>
                <c:pt idx="449">
                  <c:v>-41.4826076673589</c:v>
                </c:pt>
                <c:pt idx="450">
                  <c:v>-41.6641568454715</c:v>
                </c:pt>
                <c:pt idx="451">
                  <c:v>-41.8441818353531</c:v>
                </c:pt>
                <c:pt idx="452">
                  <c:v>-42.0226618472779</c:v>
                </c:pt>
                <c:pt idx="453">
                  <c:v>-42.1995748798122</c:v>
                </c:pt>
                <c:pt idx="454">
                  <c:v>-42.3748977796497</c:v>
                </c:pt>
                <c:pt idx="455">
                  <c:v>-42.548606306177</c:v>
                </c:pt>
                <c:pt idx="456">
                  <c:v>-42.7206752008246</c:v>
                </c:pt>
                <c:pt idx="457">
                  <c:v>-42.8910782612357</c:v>
                </c:pt>
                <c:pt idx="458">
                  <c:v>-43.0597884202648</c:v>
                </c:pt>
                <c:pt idx="459">
                  <c:v>-43.2267778297892</c:v>
                </c:pt>
                <c:pt idx="460">
                  <c:v>-43.3920179492858</c:v>
                </c:pt>
                <c:pt idx="461">
                  <c:v>-43.5554796390893</c:v>
                </c:pt>
                <c:pt idx="462">
                  <c:v>-43.7171332582143</c:v>
                </c:pt>
                <c:pt idx="463">
                  <c:v>-43.8769487665763</c:v>
                </c:pt>
                <c:pt idx="464">
                  <c:v>-44.0348958314075</c:v>
                </c:pt>
                <c:pt idx="465">
                  <c:v>-44.1909439376156</c:v>
                </c:pt>
                <c:pt idx="466">
                  <c:v>-44.3450625017817</c:v>
                </c:pt>
                <c:pt idx="467">
                  <c:v>-44.4972209894505</c:v>
                </c:pt>
                <c:pt idx="468">
                  <c:v>-44.6473890353071</c:v>
                </c:pt>
                <c:pt idx="469">
                  <c:v>-44.7955365657918</c:v>
                </c:pt>
                <c:pt idx="470">
                  <c:v>-44.9416339236488</c:v>
                </c:pt>
                <c:pt idx="471">
                  <c:v>-45.0856519938589</c:v>
                </c:pt>
                <c:pt idx="472">
                  <c:v>-45.2275623303611</c:v>
                </c:pt>
                <c:pt idx="473">
                  <c:v>-45.3673372829233</c:v>
                </c:pt>
                <c:pt idx="474">
                  <c:v>-45.5049501234873</c:v>
                </c:pt>
                <c:pt idx="475">
                  <c:v>-45.6403751712783</c:v>
                </c:pt>
                <c:pt idx="476">
                  <c:v>-45.7735879159432</c:v>
                </c:pt>
                <c:pt idx="477">
                  <c:v>-45.9045651379619</c:v>
                </c:pt>
                <c:pt idx="478">
                  <c:v>-46.0332850255652</c:v>
                </c:pt>
                <c:pt idx="479">
                  <c:v>-46.159727287389</c:v>
                </c:pt>
                <c:pt idx="480">
                  <c:v>-46.2838732600951</c:v>
                </c:pt>
                <c:pt idx="481">
                  <c:v>-46.4057060102121</c:v>
                </c:pt>
                <c:pt idx="482">
                  <c:v>-46.5252104294661</c:v>
                </c:pt>
                <c:pt idx="483">
                  <c:v>-46.6423733229082</c:v>
                </c:pt>
                <c:pt idx="484">
                  <c:v>-46.7571834891859</c:v>
                </c:pt>
                <c:pt idx="485">
                  <c:v>-46.8696317923622</c:v>
                </c:pt>
                <c:pt idx="486">
                  <c:v>-46.9797112247416</c:v>
                </c:pt>
                <c:pt idx="487">
                  <c:v>-47.0874169602317</c:v>
                </c:pt>
                <c:pt idx="488">
                  <c:v>-47.1927463978474</c:v>
                </c:pt>
                <c:pt idx="489">
                  <c:v>-47.2956991950446</c:v>
                </c:pt>
                <c:pt idx="490">
                  <c:v>-47.396277290652</c:v>
                </c:pt>
                <c:pt idx="491">
                  <c:v>-47.4944849172672</c:v>
                </c:pt>
                <c:pt idx="492">
                  <c:v>-47.590328603071</c:v>
                </c:pt>
                <c:pt idx="493">
                  <c:v>-47.6838171631042</c:v>
                </c:pt>
                <c:pt idx="494">
                  <c:v>-47.7749616801496</c:v>
                </c:pt>
                <c:pt idx="495">
                  <c:v>-47.8637754754459</c:v>
                </c:pt>
                <c:pt idx="496">
                  <c:v>-47.9502740695523</c:v>
                </c:pt>
                <c:pt idx="497">
                  <c:v>-48.0344751337587</c:v>
                </c:pt>
                <c:pt idx="498">
                  <c:v>-48.1163984325188</c:v>
                </c:pt>
                <c:pt idx="499">
                  <c:v>-48.1960657574481</c:v>
                </c:pt>
                <c:pt idx="500">
                  <c:v>-48.2735008534923</c:v>
                </c:pt>
                <c:pt idx="501">
                  <c:v>-48.3487293379237</c:v>
                </c:pt>
                <c:pt idx="502">
                  <c:v>-48.4217786128685</c:v>
                </c:pt>
                <c:pt idx="503">
                  <c:v>-48.4926777720996</c:v>
                </c:pt>
                <c:pt idx="504">
                  <c:v>-48.5614575028573</c:v>
                </c:pt>
                <c:pt idx="505">
                  <c:v>-48.6281499834739</c:v>
                </c:pt>
                <c:pt idx="506">
                  <c:v>-48.6927887775839</c:v>
                </c:pt>
                <c:pt idx="507">
                  <c:v>-48.7554087256997</c:v>
                </c:pt>
                <c:pt idx="508">
                  <c:v>-48.8160458349191</c:v>
                </c:pt>
                <c:pt idx="509">
                  <c:v>-48.8747371675148</c:v>
                </c:pt>
                <c:pt idx="510">
                  <c:v>-48.931520729123</c:v>
                </c:pt>
                <c:pt idx="511">
                  <c:v>-48.9864353572229</c:v>
                </c:pt>
                <c:pt idx="512">
                  <c:v>-49.0395206105546</c:v>
                </c:pt>
                <c:pt idx="513">
                  <c:v>-49.0908166600806</c:v>
                </c:pt>
                <c:pt idx="514">
                  <c:v>-49.1403641820517</c:v>
                </c:pt>
                <c:pt idx="515">
                  <c:v>-49.1882042536847</c:v>
                </c:pt>
                <c:pt idx="516">
                  <c:v>-49.2343782519101</c:v>
                </c:pt>
                <c:pt idx="517">
                  <c:v>-49.2789277555929</c:v>
                </c:pt>
                <c:pt idx="518">
                  <c:v>-49.321894451581</c:v>
                </c:pt>
                <c:pt idx="519">
                  <c:v>-49.3633200448739</c:v>
                </c:pt>
                <c:pt idx="520">
                  <c:v>-49.4032461731641</c:v>
                </c:pt>
                <c:pt idx="521">
                  <c:v>-49.4417143259435</c:v>
                </c:pt>
                <c:pt idx="522">
                  <c:v>-49.4787657683252</c:v>
                </c:pt>
                <c:pt idx="523">
                  <c:v>-49.5144414696827</c:v>
                </c:pt>
                <c:pt idx="524">
                  <c:v>-49.548782037166</c:v>
                </c:pt>
                <c:pt idx="525">
                  <c:v>-49.5818276541161</c:v>
                </c:pt>
                <c:pt idx="526">
                  <c:v>-49.6136180233619</c:v>
                </c:pt>
                <c:pt idx="527">
                  <c:v>-49.6441923153484</c:v>
                </c:pt>
                <c:pt idx="528">
                  <c:v>-49.6735891210222</c:v>
                </c:pt>
                <c:pt idx="529">
                  <c:v>-49.7018464093631</c:v>
                </c:pt>
                <c:pt idx="530">
                  <c:v>-49.7290014894417</c:v>
                </c:pt>
                <c:pt idx="531">
                  <c:v>-49.7550909768508</c:v>
                </c:pt>
                <c:pt idx="532">
                  <c:v>-49.7801507643493</c:v>
                </c:pt>
                <c:pt idx="533">
                  <c:v>-49.804215996543</c:v>
                </c:pt>
                <c:pt idx="534">
                  <c:v>-49.8273210484137</c:v>
                </c:pt>
                <c:pt idx="535">
                  <c:v>-49.8494995075027</c:v>
                </c:pt>
                <c:pt idx="536">
                  <c:v>-49.8707841595471</c:v>
                </c:pt>
                <c:pt idx="537">
                  <c:v>-49.8912069773673</c:v>
                </c:pt>
                <c:pt idx="538">
                  <c:v>-49.9107991127975</c:v>
                </c:pt>
                <c:pt idx="539">
                  <c:v>-49.9295908914575</c:v>
                </c:pt>
                <c:pt idx="540">
                  <c:v>-49.9476118101613</c:v>
                </c:pt>
                <c:pt idx="541">
                  <c:v>-49.9648905367628</c:v>
                </c:pt>
              </c:numCache>
            </c:numRef>
          </c:yVal>
          <c:smooth val="1"/>
        </c:ser>
        <c:dLbls>
          <c:showLegendKey val="0"/>
          <c:showVal val="0"/>
          <c:showCatName val="0"/>
          <c:showSerName val="0"/>
          <c:showPercent val="0"/>
          <c:showBubbleSize val="0"/>
        </c:dLbls>
        <c:axId val="178901376"/>
        <c:axId val="178903296"/>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Loop_Modeling!$BK$19:$BK$560</c:f>
              <c:numCache>
                <c:formatCode>General</c:formatCode>
                <c:ptCount val="542"/>
                <c:pt idx="0">
                  <c:v>90.1106682102568</c:v>
                </c:pt>
                <c:pt idx="1">
                  <c:v>90.1132438901914</c:v>
                </c:pt>
                <c:pt idx="2">
                  <c:v>90.1158794142832</c:v>
                </c:pt>
                <c:pt idx="3">
                  <c:v>90.1185761656781</c:v>
                </c:pt>
                <c:pt idx="4">
                  <c:v>90.1213355589675</c:v>
                </c:pt>
                <c:pt idx="5">
                  <c:v>90.1241590408657</c:v>
                </c:pt>
                <c:pt idx="6">
                  <c:v>90.127048090899</c:v>
                </c:pt>
                <c:pt idx="7">
                  <c:v>90.130004222107</c:v>
                </c:pt>
                <c:pt idx="8">
                  <c:v>90.133028981755</c:v>
                </c:pt>
                <c:pt idx="9">
                  <c:v>90.1361239520591</c:v>
                </c:pt>
                <c:pt idx="10">
                  <c:v>90.1392907509219</c:v>
                </c:pt>
                <c:pt idx="11">
                  <c:v>90.142531032681</c:v>
                </c:pt>
                <c:pt idx="12">
                  <c:v>90.145846488868</c:v>
                </c:pt>
                <c:pt idx="13">
                  <c:v>90.1492388489792</c:v>
                </c:pt>
                <c:pt idx="14">
                  <c:v>90.1527098812576</c:v>
                </c:pt>
                <c:pt idx="15">
                  <c:v>90.1562613934856</c:v>
                </c:pt>
                <c:pt idx="16">
                  <c:v>90.1598952337884</c:v>
                </c:pt>
                <c:pt idx="17">
                  <c:v>90.1636132914476</c:v>
                </c:pt>
                <c:pt idx="18">
                  <c:v>90.167417497725</c:v>
                </c:pt>
                <c:pt idx="19">
                  <c:v>90.1713098266961</c:v>
                </c:pt>
                <c:pt idx="20">
                  <c:v>90.1752922960922</c:v>
                </c:pt>
                <c:pt idx="21">
                  <c:v>90.1793669681512</c:v>
                </c:pt>
                <c:pt idx="22">
                  <c:v>90.1835359504775</c:v>
                </c:pt>
                <c:pt idx="23">
                  <c:v>90.1878013969075</c:v>
                </c:pt>
                <c:pt idx="24">
                  <c:v>90.1921655083832</c:v>
                </c:pt>
                <c:pt idx="25">
                  <c:v>90.1966305338308</c:v>
                </c:pt>
                <c:pt idx="26">
                  <c:v>90.2011987710448</c:v>
                </c:pt>
                <c:pt idx="27">
                  <c:v>90.2058725675757</c:v>
                </c:pt>
                <c:pt idx="28">
                  <c:v>90.2106543216205</c:v>
                </c:pt>
                <c:pt idx="29">
                  <c:v>90.2155464829156</c:v>
                </c:pt>
                <c:pt idx="30">
                  <c:v>90.2205515536294</c:v>
                </c:pt>
                <c:pt idx="31">
                  <c:v>90.2256720892539</c:v>
                </c:pt>
                <c:pt idx="32">
                  <c:v>90.2309106994941</c:v>
                </c:pt>
                <c:pt idx="33">
                  <c:v>90.2362700491528</c:v>
                </c:pt>
                <c:pt idx="34">
                  <c:v>90.2417528590093</c:v>
                </c:pt>
                <c:pt idx="35">
                  <c:v>90.2473619066899</c:v>
                </c:pt>
                <c:pt idx="36">
                  <c:v>90.2531000275278</c:v>
                </c:pt>
                <c:pt idx="37">
                  <c:v>90.258970115411</c:v>
                </c:pt>
                <c:pt idx="38">
                  <c:v>90.2649751236133</c:v>
                </c:pt>
                <c:pt idx="39">
                  <c:v>90.2711180656085</c:v>
                </c:pt>
                <c:pt idx="40">
                  <c:v>90.2774020158626</c:v>
                </c:pt>
                <c:pt idx="41">
                  <c:v>90.2838301106014</c:v>
                </c:pt>
                <c:pt idx="42">
                  <c:v>90.2904055485501</c:v>
                </c:pt>
                <c:pt idx="43">
                  <c:v>90.2971315916406</c:v>
                </c:pt>
                <c:pt idx="44">
                  <c:v>90.3040115656827</c:v>
                </c:pt>
                <c:pt idx="45">
                  <c:v>90.3110488609944</c:v>
                </c:pt>
                <c:pt idx="46">
                  <c:v>90.3182469329864</c:v>
                </c:pt>
                <c:pt idx="47">
                  <c:v>90.325609302696</c:v>
                </c:pt>
                <c:pt idx="48">
                  <c:v>90.3331395572642</c:v>
                </c:pt>
                <c:pt idx="49">
                  <c:v>90.3408413503495</c:v>
                </c:pt>
                <c:pt idx="50">
                  <c:v>90.3487184024736</c:v>
                </c:pt>
                <c:pt idx="51">
                  <c:v>90.3567745012896</c:v>
                </c:pt>
                <c:pt idx="52">
                  <c:v>90.3650135017668</c:v>
                </c:pt>
                <c:pt idx="53">
                  <c:v>90.3734393262828</c:v>
                </c:pt>
                <c:pt idx="54">
                  <c:v>90.3820559646155</c:v>
                </c:pt>
                <c:pt idx="55">
                  <c:v>90.3908674738237</c:v>
                </c:pt>
                <c:pt idx="56">
                  <c:v>90.3998779780078</c:v>
                </c:pt>
                <c:pt idx="57">
                  <c:v>90.4090916679389</c:v>
                </c:pt>
                <c:pt idx="58">
                  <c:v>90.418512800545</c:v>
                </c:pt>
                <c:pt idx="59">
                  <c:v>90.428145698241</c:v>
                </c:pt>
                <c:pt idx="60">
                  <c:v>90.4379947480912</c:v>
                </c:pt>
                <c:pt idx="61">
                  <c:v>90.4480644007869</c:v>
                </c:pt>
                <c:pt idx="62">
                  <c:v>90.4583591694264</c:v>
                </c:pt>
                <c:pt idx="63">
                  <c:v>90.4688836280799</c:v>
                </c:pt>
                <c:pt idx="64">
                  <c:v>90.4796424101218</c:v>
                </c:pt>
                <c:pt idx="65">
                  <c:v>90.4906402063114</c:v>
                </c:pt>
                <c:pt idx="66">
                  <c:v>90.5018817626025</c:v>
                </c:pt>
                <c:pt idx="67">
                  <c:v>90.513371877661</c:v>
                </c:pt>
                <c:pt idx="68">
                  <c:v>90.525115400065</c:v>
                </c:pt>
                <c:pt idx="69">
                  <c:v>90.5371172251674</c:v>
                </c:pt>
                <c:pt idx="70">
                  <c:v>90.5493822915903</c:v>
                </c:pt>
                <c:pt idx="71">
                  <c:v>90.5619155773275</c:v>
                </c:pt>
                <c:pt idx="72">
                  <c:v>90.5747220954224</c:v>
                </c:pt>
                <c:pt idx="73">
                  <c:v>90.5878068891926</c:v>
                </c:pt>
                <c:pt idx="74">
                  <c:v>90.6011750269654</c:v>
                </c:pt>
                <c:pt idx="75">
                  <c:v>90.6148315962904</c:v>
                </c:pt>
                <c:pt idx="76">
                  <c:v>90.6287816975904</c:v>
                </c:pt>
                <c:pt idx="77">
                  <c:v>90.6430304372106</c:v>
                </c:pt>
                <c:pt idx="78">
                  <c:v>90.657582919824</c:v>
                </c:pt>
                <c:pt idx="79">
                  <c:v>90.6724442401473</c:v>
                </c:pt>
                <c:pt idx="80">
                  <c:v>90.6876194739193</c:v>
                </c:pt>
                <c:pt idx="81">
                  <c:v>90.7031136680912</c:v>
                </c:pt>
                <c:pt idx="82">
                  <c:v>90.7189318301754</c:v>
                </c:pt>
                <c:pt idx="83">
                  <c:v>90.7350789166948</c:v>
                </c:pt>
                <c:pt idx="84">
                  <c:v>90.7515598206752</c:v>
                </c:pt>
                <c:pt idx="85">
                  <c:v>90.7683793581128</c:v>
                </c:pt>
                <c:pt idx="86">
                  <c:v>90.7855422533545</c:v>
                </c:pt>
                <c:pt idx="87">
                  <c:v>90.8030531233195</c:v>
                </c:pt>
                <c:pt idx="88">
                  <c:v>90.8209164604842</c:v>
                </c:pt>
                <c:pt idx="89">
                  <c:v>90.8391366145583</c:v>
                </c:pt>
                <c:pt idx="90">
                  <c:v>90.8577177727662</c:v>
                </c:pt>
                <c:pt idx="91">
                  <c:v>90.8766639386482</c:v>
                </c:pt>
                <c:pt idx="92">
                  <c:v>90.8959789092941</c:v>
                </c:pt>
                <c:pt idx="93">
                  <c:v>90.9156662509106</c:v>
                </c:pt>
                <c:pt idx="94">
                  <c:v>90.9357292726302</c:v>
                </c:pt>
                <c:pt idx="95">
                  <c:v>90.9561709984528</c:v>
                </c:pt>
                <c:pt idx="96">
                  <c:v>90.976994137219</c:v>
                </c:pt>
                <c:pt idx="97">
                  <c:v>90.9982010505003</c:v>
                </c:pt>
                <c:pt idx="98">
                  <c:v>91.0197937182948</c:v>
                </c:pt>
                <c:pt idx="99">
                  <c:v>91.0417737024073</c:v>
                </c:pt>
                <c:pt idx="100">
                  <c:v>91.064142107393</c:v>
                </c:pt>
                <c:pt idx="101">
                  <c:v>91.0868995389392</c:v>
                </c:pt>
                <c:pt idx="102">
                  <c:v>91.1100460595551</c:v>
                </c:pt>
                <c:pt idx="103">
                  <c:v>91.1335811414392</c:v>
                </c:pt>
                <c:pt idx="104">
                  <c:v>91.1575036163888</c:v>
                </c:pt>
                <c:pt idx="105">
                  <c:v>91.1818116226184</c:v>
                </c:pt>
                <c:pt idx="106">
                  <c:v>91.206502548346</c:v>
                </c:pt>
                <c:pt idx="107">
                  <c:v>91.2315729720139</c:v>
                </c:pt>
                <c:pt idx="108">
                  <c:v>91.2570185990037</c:v>
                </c:pt>
                <c:pt idx="109">
                  <c:v>91.282834194711</c:v>
                </c:pt>
                <c:pt idx="110">
                  <c:v>91.3090135138469</c:v>
                </c:pt>
                <c:pt idx="111">
                  <c:v>91.3355492258353</c:v>
                </c:pt>
                <c:pt idx="112">
                  <c:v>91.3624328361825</c:v>
                </c:pt>
                <c:pt idx="113">
                  <c:v>91.3896546037011</c:v>
                </c:pt>
                <c:pt idx="114">
                  <c:v>91.4172034534786</c:v>
                </c:pt>
                <c:pt idx="115">
                  <c:v>91.4450668854917</c:v>
                </c:pt>
                <c:pt idx="116">
                  <c:v>91.4732308787832</c:v>
                </c:pt>
                <c:pt idx="117">
                  <c:v>91.5016797911242</c:v>
                </c:pt>
                <c:pt idx="118">
                  <c:v>91.5303962541154</c:v>
                </c:pt>
                <c:pt idx="119">
                  <c:v>91.5593610636907</c:v>
                </c:pt>
                <c:pt idx="120">
                  <c:v>91.5885530660147</c:v>
                </c:pt>
                <c:pt idx="121">
                  <c:v>91.6179490387938</c:v>
                </c:pt>
                <c:pt idx="122">
                  <c:v>91.6475235680478</c:v>
                </c:pt>
                <c:pt idx="123">
                  <c:v>91.6772489204273</c:v>
                </c:pt>
                <c:pt idx="124">
                  <c:v>91.7070949111955</c:v>
                </c:pt>
                <c:pt idx="125">
                  <c:v>91.7370287680444</c:v>
                </c:pt>
                <c:pt idx="126">
                  <c:v>91.7670149909511</c:v>
                </c:pt>
                <c:pt idx="127">
                  <c:v>91.7970152083438</c:v>
                </c:pt>
                <c:pt idx="128">
                  <c:v>91.8269880298936</c:v>
                </c:pt>
                <c:pt idx="129">
                  <c:v>91.8568888963167</c:v>
                </c:pt>
                <c:pt idx="130">
                  <c:v>91.8866699266363</c:v>
                </c:pt>
                <c:pt idx="131">
                  <c:v>91.9162797634215</c:v>
                </c:pt>
                <c:pt idx="132">
                  <c:v>91.9456634166015</c:v>
                </c:pt>
                <c:pt idx="133">
                  <c:v>91.9747621065315</c:v>
                </c:pt>
                <c:pt idx="134">
                  <c:v>92.0035131070699</c:v>
                </c:pt>
                <c:pt idx="135">
                  <c:v>92.0318495895215</c:v>
                </c:pt>
                <c:pt idx="136">
                  <c:v>92.0597004683849</c:v>
                </c:pt>
                <c:pt idx="137">
                  <c:v>92.0869902499445</c:v>
                </c:pt>
                <c:pt idx="138">
                  <c:v>92.1136388848401</c:v>
                </c:pt>
                <c:pt idx="139">
                  <c:v>92.1395616258465</c:v>
                </c:pt>
                <c:pt idx="140">
                  <c:v>92.1646688921926</c:v>
                </c:pt>
                <c:pt idx="141">
                  <c:v>92.1888661418443</c:v>
                </c:pt>
                <c:pt idx="142">
                  <c:v>92.2120537532685</c:v>
                </c:pt>
                <c:pt idx="143">
                  <c:v>92.234126918285</c:v>
                </c:pt>
                <c:pt idx="144">
                  <c:v>92.2549755476899</c:v>
                </c:pt>
                <c:pt idx="145">
                  <c:v>92.2744841914126</c:v>
                </c:pt>
                <c:pt idx="146">
                  <c:v>92.2925319750227</c:v>
                </c:pt>
                <c:pt idx="147">
                  <c:v>92.3089925544556</c:v>
                </c:pt>
                <c:pt idx="148">
                  <c:v>92.3237340908561</c:v>
                </c:pt>
                <c:pt idx="149">
                  <c:v>92.3366192474515</c:v>
                </c:pt>
                <c:pt idx="150">
                  <c:v>92.3475052103612</c:v>
                </c:pt>
                <c:pt idx="151">
                  <c:v>92.3562437352107</c:v>
                </c:pt>
                <c:pt idx="152">
                  <c:v>92.3626812213717</c:v>
                </c:pt>
                <c:pt idx="153">
                  <c:v>92.3666588155495</c:v>
                </c:pt>
                <c:pt idx="154">
                  <c:v>92.3680125463367</c:v>
                </c:pt>
                <c:pt idx="155">
                  <c:v>92.3665734911854</c:v>
                </c:pt>
                <c:pt idx="156">
                  <c:v>92.3621679770795</c:v>
                </c:pt>
                <c:pt idx="157">
                  <c:v>92.3546178159621</c:v>
                </c:pt>
                <c:pt idx="158">
                  <c:v>92.343740575716</c:v>
                </c:pt>
                <c:pt idx="159">
                  <c:v>92.3293498872084</c:v>
                </c:pt>
                <c:pt idx="160">
                  <c:v>92.3112557875823</c:v>
                </c:pt>
                <c:pt idx="161">
                  <c:v>92.2892650996138</c:v>
                </c:pt>
                <c:pt idx="162">
                  <c:v>92.2631818465754</c:v>
                </c:pt>
                <c:pt idx="163">
                  <c:v>92.2328077016167</c:v>
                </c:pt>
                <c:pt idx="164">
                  <c:v>92.1979424702413</c:v>
                </c:pt>
                <c:pt idx="165">
                  <c:v>92.1583846040024</c:v>
                </c:pt>
                <c:pt idx="166">
                  <c:v>92.1139317430708</c:v>
                </c:pt>
                <c:pt idx="167">
                  <c:v>92.0643812848553</c:v>
                </c:pt>
                <c:pt idx="168">
                  <c:v>92.009530975397</c:v>
                </c:pt>
                <c:pt idx="169">
                  <c:v>91.9491795197949</c:v>
                </c:pt>
                <c:pt idx="170">
                  <c:v>91.8831272074951</c:v>
                </c:pt>
                <c:pt idx="171">
                  <c:v>91.8111765478732</c:v>
                </c:pt>
                <c:pt idx="172">
                  <c:v>91.7331329111755</c:v>
                </c:pt>
                <c:pt idx="173">
                  <c:v>91.6488051695795</c:v>
                </c:pt>
                <c:pt idx="174">
                  <c:v>91.5580063328766</c:v>
                </c:pt>
                <c:pt idx="175">
                  <c:v>91.4605541730973</c:v>
                </c:pt>
                <c:pt idx="176">
                  <c:v>91.3562718322881</c:v>
                </c:pt>
                <c:pt idx="177">
                  <c:v>91.244988407616</c:v>
                </c:pt>
                <c:pt idx="178">
                  <c:v>91.1265395080331</c:v>
                </c:pt>
                <c:pt idx="179">
                  <c:v>91.0007677768713</c:v>
                </c:pt>
                <c:pt idx="180">
                  <c:v>90.867523374972</c:v>
                </c:pt>
                <c:pt idx="181">
                  <c:v>90.726664419274</c:v>
                </c:pt>
                <c:pt idx="182">
                  <c:v>90.5780573721828</c:v>
                </c:pt>
                <c:pt idx="183">
                  <c:v>90.4215773775375</c:v>
                </c:pt>
                <c:pt idx="184">
                  <c:v>90.2571085395502</c:v>
                </c:pt>
                <c:pt idx="185">
                  <c:v>90.0845441417152</c:v>
                </c:pt>
                <c:pt idx="186">
                  <c:v>89.9037868033761</c:v>
                </c:pt>
                <c:pt idx="187">
                  <c:v>89.7147485723614</c:v>
                </c:pt>
                <c:pt idx="188">
                  <c:v>89.5173509528598</c:v>
                </c:pt>
                <c:pt idx="189">
                  <c:v>89.3115248684858</c:v>
                </c:pt>
                <c:pt idx="190">
                  <c:v>89.0972105612748</c:v>
                </c:pt>
                <c:pt idx="191">
                  <c:v>88.8743574281038</c:v>
                </c:pt>
                <c:pt idx="192">
                  <c:v>88.6429237968091</c:v>
                </c:pt>
                <c:pt idx="193">
                  <c:v>88.4028766449647</c:v>
                </c:pt>
                <c:pt idx="194">
                  <c:v>88.1541912649611</c:v>
                </c:pt>
                <c:pt idx="195">
                  <c:v>87.8968508796293</c:v>
                </c:pt>
                <c:pt idx="196">
                  <c:v>87.6308462131882</c:v>
                </c:pt>
                <c:pt idx="197">
                  <c:v>87.356175022756</c:v>
                </c:pt>
                <c:pt idx="198">
                  <c:v>87.072841596041</c:v>
                </c:pt>
                <c:pt idx="199">
                  <c:v>86.7808562211182</c:v>
                </c:pt>
                <c:pt idx="200">
                  <c:v>86.4802346343937</c:v>
                </c:pt>
                <c:pt idx="201">
                  <c:v>86.1709974529848</c:v>
                </c:pt>
                <c:pt idx="202">
                  <c:v>85.8531695977449</c:v>
                </c:pt>
                <c:pt idx="203">
                  <c:v>85.526779713129</c:v>
                </c:pt>
                <c:pt idx="204">
                  <c:v>85.1918595899409</c:v>
                </c:pt>
                <c:pt idx="205">
                  <c:v>84.8484435967985</c:v>
                </c:pt>
                <c:pt idx="206">
                  <c:v>84.4965681258816</c:v>
                </c:pt>
                <c:pt idx="207">
                  <c:v>84.1362710581929</c:v>
                </c:pt>
                <c:pt idx="208">
                  <c:v>83.7675912531852</c:v>
                </c:pt>
                <c:pt idx="209">
                  <c:v>83.3905680671952</c:v>
                </c:pt>
                <c:pt idx="210">
                  <c:v>83.0052409046643</c:v>
                </c:pt>
                <c:pt idx="211">
                  <c:v>82.6116488056767</c:v>
                </c:pt>
                <c:pt idx="212">
                  <c:v>82.209830072857</c:v>
                </c:pt>
                <c:pt idx="213">
                  <c:v>81.7998219401844</c:v>
                </c:pt>
                <c:pt idx="214">
                  <c:v>81.3816602858026</c:v>
                </c:pt>
                <c:pt idx="215">
                  <c:v>80.9553793904366</c:v>
                </c:pt>
                <c:pt idx="216">
                  <c:v>80.5210117425715</c:v>
                </c:pt>
                <c:pt idx="217">
                  <c:v>80.0785878911056</c:v>
                </c:pt>
                <c:pt idx="218">
                  <c:v>79.6281363457839</c:v>
                </c:pt>
                <c:pt idx="219">
                  <c:v>79.1696835253404</c:v>
                </c:pt>
                <c:pt idx="220">
                  <c:v>78.7032537528913</c:v>
                </c:pt>
                <c:pt idx="221">
                  <c:v>78.2288692978271</c:v>
                </c:pt>
                <c:pt idx="222">
                  <c:v>77.7465504631241</c:v>
                </c:pt>
                <c:pt idx="223">
                  <c:v>77.2563157167327</c:v>
                </c:pt>
                <c:pt idx="224">
                  <c:v>76.7581818654621</c:v>
                </c:pt>
                <c:pt idx="225">
                  <c:v>76.2521642695458</c:v>
                </c:pt>
                <c:pt idx="226">
                  <c:v>75.7382770958943</c:v>
                </c:pt>
                <c:pt idx="227">
                  <c:v>75.2165336078592</c:v>
                </c:pt>
                <c:pt idx="228">
                  <c:v>74.6869464891795</c:v>
                </c:pt>
                <c:pt idx="229">
                  <c:v>74.1495281996429</c:v>
                </c:pt>
                <c:pt idx="230">
                  <c:v>73.60429135988</c:v>
                </c:pt>
                <c:pt idx="231">
                  <c:v>73.0512491625874</c:v>
                </c:pt>
                <c:pt idx="232">
                  <c:v>72.4904158073814</c:v>
                </c:pt>
                <c:pt idx="233">
                  <c:v>71.9218069563883</c:v>
                </c:pt>
                <c:pt idx="234">
                  <c:v>71.3454402075905</c:v>
                </c:pt>
                <c:pt idx="235">
                  <c:v>70.761335582864</c:v>
                </c:pt>
                <c:pt idx="236">
                  <c:v>70.1695160275612</c:v>
                </c:pt>
                <c:pt idx="237">
                  <c:v>69.5700079184194</c:v>
                </c:pt>
                <c:pt idx="238">
                  <c:v>68.9628415764991</c:v>
                </c:pt>
                <c:pt idx="239">
                  <c:v>68.3480517817848</c:v>
                </c:pt>
                <c:pt idx="240">
                  <c:v>67.7256782860131</c:v>
                </c:pt>
                <c:pt idx="241">
                  <c:v>67.0957663202272</c:v>
                </c:pt>
                <c:pt idx="242">
                  <c:v>66.458367093503</c:v>
                </c:pt>
                <c:pt idx="243">
                  <c:v>65.8135382792423</c:v>
                </c:pt>
                <c:pt idx="244">
                  <c:v>65.1613444853805</c:v>
                </c:pt>
                <c:pt idx="245">
                  <c:v>64.5018577048416</c:v>
                </c:pt>
                <c:pt idx="246">
                  <c:v>63.8351577425508</c:v>
                </c:pt>
                <c:pt idx="247">
                  <c:v>63.161332615328</c:v>
                </c:pt>
                <c:pt idx="248">
                  <c:v>62.4804789210117</c:v>
                </c:pt>
                <c:pt idx="249">
                  <c:v>61.7927021732104</c:v>
                </c:pt>
                <c:pt idx="250">
                  <c:v>61.0981170981679</c:v>
                </c:pt>
                <c:pt idx="251">
                  <c:v>60.3968478903303</c:v>
                </c:pt>
                <c:pt idx="252">
                  <c:v>59.6890284233524</c:v>
                </c:pt>
                <c:pt idx="253">
                  <c:v>58.9748024134542</c:v>
                </c:pt>
                <c:pt idx="254">
                  <c:v>58.2543235322625</c:v>
                </c:pt>
                <c:pt idx="255">
                  <c:v>57.5277554665173</c:v>
                </c:pt>
                <c:pt idx="256">
                  <c:v>56.7952719223297</c:v>
                </c:pt>
                <c:pt idx="257">
                  <c:v>56.0570565719945</c:v>
                </c:pt>
                <c:pt idx="258">
                  <c:v>55.3133029417539</c:v>
                </c:pt>
                <c:pt idx="259">
                  <c:v>54.5642142392945</c:v>
                </c:pt>
                <c:pt idx="260">
                  <c:v>53.8100031202221</c:v>
                </c:pt>
                <c:pt idx="261">
                  <c:v>53.0508913932165</c:v>
                </c:pt>
                <c:pt idx="262">
                  <c:v>52.2871096640796</c:v>
                </c:pt>
                <c:pt idx="263">
                  <c:v>51.5188969193997</c:v>
                </c:pt>
                <c:pt idx="264">
                  <c:v>50.7465000510985</c:v>
                </c:pt>
                <c:pt idx="265">
                  <c:v>49.9701733236618</c:v>
                </c:pt>
                <c:pt idx="266">
                  <c:v>49.1901777864065</c:v>
                </c:pt>
                <c:pt idx="267">
                  <c:v>48.4067806336594</c:v>
                </c:pt>
                <c:pt idx="268">
                  <c:v>47.6202545162608</c:v>
                </c:pt>
                <c:pt idx="269">
                  <c:v>46.8308768082849</c:v>
                </c:pt>
                <c:pt idx="270">
                  <c:v>46.0389288333435</c:v>
                </c:pt>
                <c:pt idx="271">
                  <c:v>45.244695055262</c:v>
                </c:pt>
                <c:pt idx="272">
                  <c:v>44.448462238294</c:v>
                </c:pt>
                <c:pt idx="273">
                  <c:v>43.6505185823605</c:v>
                </c:pt>
                <c:pt idx="274">
                  <c:v>42.8511528390691</c:v>
                </c:pt>
                <c:pt idx="275">
                  <c:v>42.0506534144647</c:v>
                </c:pt>
                <c:pt idx="276">
                  <c:v>41.2493074645936</c:v>
                </c:pt>
                <c:pt idx="277">
                  <c:v>40.4473999900228</c:v>
                </c:pt>
                <c:pt idx="278">
                  <c:v>39.6452129354466</c:v>
                </c:pt>
                <c:pt idx="279">
                  <c:v>38.8430243004277</c:v>
                </c:pt>
                <c:pt idx="280">
                  <c:v>38.0411072671679</c:v>
                </c:pt>
                <c:pt idx="281">
                  <c:v>37.2397293509868</c:v>
                </c:pt>
                <c:pt idx="282">
                  <c:v>36.4391515788929</c:v>
                </c:pt>
                <c:pt idx="283">
                  <c:v>35.6396277013147</c:v>
                </c:pt>
                <c:pt idx="284">
                  <c:v>34.8414034416448</c:v>
                </c:pt>
                <c:pt idx="285">
                  <c:v>34.0447157878307</c:v>
                </c:pt>
                <c:pt idx="286">
                  <c:v>33.249792329777</c:v>
                </c:pt>
                <c:pt idx="287">
                  <c:v>32.4568506458115</c:v>
                </c:pt>
                <c:pt idx="288">
                  <c:v>31.6660977409752</c:v>
                </c:pt>
                <c:pt idx="289">
                  <c:v>30.8777295393367</c:v>
                </c:pt>
                <c:pt idx="290">
                  <c:v>30.0919304320351</c:v>
                </c:pt>
                <c:pt idx="291">
                  <c:v>29.3088728822026</c:v>
                </c:pt>
                <c:pt idx="292">
                  <c:v>28.5287170874195</c:v>
                </c:pt>
                <c:pt idx="293">
                  <c:v>27.7516106998572</c:v>
                </c:pt>
                <c:pt idx="294">
                  <c:v>26.9776886038006</c:v>
                </c:pt>
                <c:pt idx="295">
                  <c:v>26.2070727497998</c:v>
                </c:pt>
                <c:pt idx="296">
                  <c:v>25.4398720443047</c:v>
                </c:pt>
                <c:pt idx="297">
                  <c:v>24.6761822932705</c:v>
                </c:pt>
                <c:pt idx="298">
                  <c:v>23.916086197901</c:v>
                </c:pt>
                <c:pt idx="299">
                  <c:v>23.1596534004244</c:v>
                </c:pt>
                <c:pt idx="300">
                  <c:v>22.4069405775476</c:v>
                </c:pt>
                <c:pt idx="301">
                  <c:v>21.6579915790657</c:v>
                </c:pt>
                <c:pt idx="302">
                  <c:v>20.9128376089318</c:v>
                </c:pt>
                <c:pt idx="303">
                  <c:v>20.1714974460076</c:v>
                </c:pt>
                <c:pt idx="304">
                  <c:v>19.4339777016325</c:v>
                </c:pt>
                <c:pt idx="305">
                  <c:v>18.700273111133</c:v>
                </c:pt>
                <c:pt idx="306">
                  <c:v>17.9703668563871</c:v>
                </c:pt>
                <c:pt idx="307">
                  <c:v>17.2442309166104</c:v>
                </c:pt>
                <c:pt idx="308">
                  <c:v>16.52182644458</c:v>
                </c:pt>
                <c:pt idx="309">
                  <c:v>15.8031041656169</c:v>
                </c:pt>
                <c:pt idx="310">
                  <c:v>15.0880047967476</c:v>
                </c:pt>
                <c:pt idx="311">
                  <c:v>14.3764594836054</c:v>
                </c:pt>
                <c:pt idx="312">
                  <c:v>13.6683902527664</c:v>
                </c:pt>
                <c:pt idx="313">
                  <c:v>12.9637104773804</c:v>
                </c:pt>
                <c:pt idx="314">
                  <c:v>12.262325354112</c:v>
                </c:pt>
                <c:pt idx="315">
                  <c:v>11.564132389585</c:v>
                </c:pt>
                <c:pt idx="316">
                  <c:v>10.8690218946879</c:v>
                </c:pt>
                <c:pt idx="317">
                  <c:v>10.1768774852777</c:v>
                </c:pt>
                <c:pt idx="318">
                  <c:v>9.48757658798248</c:v>
                </c:pt>
                <c:pt idx="319">
                  <c:v>8.80099094997901</c:v>
                </c:pt>
                <c:pt idx="320">
                  <c:v>8.11698715176986</c:v>
                </c:pt>
                <c:pt idx="321">
                  <c:v>7.43542712215313</c:v>
                </c:pt>
                <c:pt idx="322">
                  <c:v>6.75616865470772</c:v>
                </c:pt>
                <c:pt idx="323">
                  <c:v>6.07906592526315</c:v>
                </c:pt>
                <c:pt idx="324">
                  <c:v>5.4039700099364</c:v>
                </c:pt>
                <c:pt idx="325">
                  <c:v>4.73072940344285</c:v>
                </c:pt>
                <c:pt idx="326">
                  <c:v>4.05919053747286</c:v>
                </c:pt>
                <c:pt idx="327">
                  <c:v>3.38919829902365</c:v>
                </c:pt>
                <c:pt idx="328">
                  <c:v>2.72059654864112</c:v>
                </c:pt>
                <c:pt idx="329">
                  <c:v>2.05322863858744</c:v>
                </c:pt>
                <c:pt idx="330">
                  <c:v>1.38693793099633</c:v>
                </c:pt>
                <c:pt idx="331">
                  <c:v>0.721568316101302</c:v>
                </c:pt>
                <c:pt idx="332">
                  <c:v>0.0569647306447772</c:v>
                </c:pt>
                <c:pt idx="333">
                  <c:v>-0.607026323432385</c:v>
                </c:pt>
                <c:pt idx="334">
                  <c:v>-1.27055625992654</c:v>
                </c:pt>
                <c:pt idx="335">
                  <c:v>-1.93377388887674</c:v>
                </c:pt>
                <c:pt idx="336">
                  <c:v>-2.59682489661878</c:v>
                </c:pt>
                <c:pt idx="337">
                  <c:v>-3.2598513254368</c:v>
                </c:pt>
                <c:pt idx="338">
                  <c:v>-3.9229910529183</c:v>
                </c:pt>
                <c:pt idx="339">
                  <c:v>-4.5863772712194</c:v>
                </c:pt>
                <c:pt idx="340">
                  <c:v>-5.25013796653554</c:v>
                </c:pt>
                <c:pt idx="341">
                  <c:v>-5.9143953991931</c:v>
                </c:pt>
                <c:pt idx="342">
                  <c:v>-6.57926558489242</c:v>
                </c:pt>
                <c:pt idx="343">
                  <c:v>-7.24485777777404</c:v>
                </c:pt>
                <c:pt idx="344">
                  <c:v>-7.91127395612525</c:v>
                </c:pt>
                <c:pt idx="345">
                  <c:v>-8.57860831169266</c:v>
                </c:pt>
                <c:pt idx="346">
                  <c:v>-9.24694674373301</c:v>
                </c:pt>
                <c:pt idx="347">
                  <c:v>-9.91636635909787</c:v>
                </c:pt>
                <c:pt idx="348">
                  <c:v>-10.586934979826</c:v>
                </c:pt>
                <c:pt idx="349">
                  <c:v>-11.2587106598815</c:v>
                </c:pt>
                <c:pt idx="350">
                  <c:v>-11.9317412128577</c:v>
                </c:pt>
                <c:pt idx="351">
                  <c:v>-12.6060637526346</c:v>
                </c:pt>
                <c:pt idx="352">
                  <c:v>-13.281704249145</c:v>
                </c:pt>
                <c:pt idx="353">
                  <c:v>-13.9586771015577</c:v>
                </c:pt>
                <c:pt idx="354">
                  <c:v>-14.6369847313469</c:v>
                </c:pt>
                <c:pt idx="355">
                  <c:v>-15.3166171978262</c:v>
                </c:pt>
                <c:pt idx="356">
                  <c:v>-15.9975518388693</c:v>
                </c:pt>
                <c:pt idx="357">
                  <c:v>-16.679752939607</c:v>
                </c:pt>
                <c:pt idx="358">
                  <c:v>-17.3631714319787</c:v>
                </c:pt>
                <c:pt idx="359">
                  <c:v>-18.0477446280466</c:v>
                </c:pt>
                <c:pt idx="360">
                  <c:v>-18.7333959899996</c:v>
                </c:pt>
                <c:pt idx="361">
                  <c:v>-19.4200349397424</c:v>
                </c:pt>
                <c:pt idx="362">
                  <c:v>-20.1075567109116</c:v>
                </c:pt>
                <c:pt idx="363">
                  <c:v>-20.7958422460559</c:v>
                </c:pt>
                <c:pt idx="364">
                  <c:v>-21.4847581415788</c:v>
                </c:pt>
                <c:pt idx="365">
                  <c:v>-22.174156642854</c:v>
                </c:pt>
                <c:pt idx="366">
                  <c:v>-22.8638756917051</c:v>
                </c:pt>
                <c:pt idx="367">
                  <c:v>-23.5537390281538</c:v>
                </c:pt>
                <c:pt idx="368">
                  <c:v>-24.2435563480476</c:v>
                </c:pt>
                <c:pt idx="369">
                  <c:v>-24.933123517802</c:v>
                </c:pt>
                <c:pt idx="370">
                  <c:v>-25.6222228471128</c:v>
                </c:pt>
                <c:pt idx="371">
                  <c:v>-26.3106234200593</c:v>
                </c:pt>
                <c:pt idx="372">
                  <c:v>-26.9980814845578</c:v>
                </c:pt>
                <c:pt idx="373">
                  <c:v>-27.6843408996387</c:v>
                </c:pt>
                <c:pt idx="374">
                  <c:v>-28.3691336395217</c:v>
                </c:pt>
                <c:pt idx="375">
                  <c:v>-29.0521803529332</c:v>
                </c:pt>
                <c:pt idx="376">
                  <c:v>-29.7331909755927</c:v>
                </c:pt>
                <c:pt idx="377">
                  <c:v>-30.4118653932757</c:v>
                </c:pt>
                <c:pt idx="378">
                  <c:v>-31.0878941523405</c:v>
                </c:pt>
                <c:pt idx="379">
                  <c:v>-31.7609592141219</c:v>
                </c:pt>
                <c:pt idx="380">
                  <c:v>-32.430734749124</c:v>
                </c:pt>
                <c:pt idx="381">
                  <c:v>-33.09688796652</c:v>
                </c:pt>
                <c:pt idx="382">
                  <c:v>-33.7590799740761</c:v>
                </c:pt>
                <c:pt idx="383">
                  <c:v>-34.4169666632874</c:v>
                </c:pt>
                <c:pt idx="384">
                  <c:v>-35.0701996142265</c:v>
                </c:pt>
                <c:pt idx="385">
                  <c:v>-35.7184270143994</c:v>
                </c:pt>
                <c:pt idx="386">
                  <c:v>-36.3612945857456</c:v>
                </c:pt>
                <c:pt idx="387">
                  <c:v>-36.9984465138467</c:v>
                </c:pt>
                <c:pt idx="388">
                  <c:v>-37.629526373391</c:v>
                </c:pt>
                <c:pt idx="389">
                  <c:v>-38.2541780440129</c:v>
                </c:pt>
                <c:pt idx="390">
                  <c:v>-38.8720466107552</c:v>
                </c:pt>
                <c:pt idx="391">
                  <c:v>-39.4827792436052</c:v>
                </c:pt>
                <c:pt idx="392">
                  <c:v>-40.0860260508239</c:v>
                </c:pt>
                <c:pt idx="393">
                  <c:v>-40.6814409011113</c:v>
                </c:pt>
                <c:pt idx="394">
                  <c:v>-41.2686822100332</c:v>
                </c:pt>
                <c:pt idx="395">
                  <c:v>-41.8474136865643</c:v>
                </c:pt>
                <c:pt idx="396">
                  <c:v>-42.4173050360628</c:v>
                </c:pt>
                <c:pt idx="397">
                  <c:v>-42.9780326165001</c:v>
                </c:pt>
                <c:pt idx="398">
                  <c:v>-43.5292800452805</c:v>
                </c:pt>
                <c:pt idx="399">
                  <c:v>-44.0707387545358</c:v>
                </c:pt>
                <c:pt idx="400">
                  <c:v>-44.6021084933076</c:v>
                </c:pt>
                <c:pt idx="401">
                  <c:v>-45.1230977755875</c:v>
                </c:pt>
                <c:pt idx="402">
                  <c:v>-45.6334242737071</c:v>
                </c:pt>
                <c:pt idx="403">
                  <c:v>-46.1328151570946</c:v>
                </c:pt>
                <c:pt idx="404">
                  <c:v>-46.6210073769018</c:v>
                </c:pt>
                <c:pt idx="405">
                  <c:v>-47.0977478974739</c:v>
                </c:pt>
                <c:pt idx="406">
                  <c:v>-47.5627938760773</c:v>
                </c:pt>
                <c:pt idx="407">
                  <c:v>-48.015912792672</c:v>
                </c:pt>
                <c:pt idx="408">
                  <c:v>-48.4568825319025</c:v>
                </c:pt>
                <c:pt idx="409">
                  <c:v>-48.8854914197729</c:v>
                </c:pt>
                <c:pt idx="410">
                  <c:v>-49.3015382177516</c:v>
                </c:pt>
                <c:pt idx="411">
                  <c:v>-49.7048320772829</c:v>
                </c:pt>
                <c:pt idx="412">
                  <c:v>-50.0951924578588</c:v>
                </c:pt>
                <c:pt idx="413">
                  <c:v>-50.4724490119578</c:v>
                </c:pt>
                <c:pt idx="414">
                  <c:v>-50.8364414402513</c:v>
                </c:pt>
                <c:pt idx="415">
                  <c:v>-51.1870193205484</c:v>
                </c:pt>
                <c:pt idx="416">
                  <c:v>-51.5240419139768</c:v>
                </c:pt>
                <c:pt idx="417">
                  <c:v>-51.8473779518912</c:v>
                </c:pt>
                <c:pt idx="418">
                  <c:v>-52.156905406965</c:v>
                </c:pt>
                <c:pt idx="419">
                  <c:v>-52.4525112518677</c:v>
                </c:pt>
                <c:pt idx="420">
                  <c:v>-52.7340912088312</c:v>
                </c:pt>
                <c:pt idx="421">
                  <c:v>-53.0015494933101</c:v>
                </c:pt>
                <c:pt idx="422">
                  <c:v>-53.2547985548221</c:v>
                </c:pt>
                <c:pt idx="423">
                  <c:v>-53.4937588178961</c:v>
                </c:pt>
                <c:pt idx="424">
                  <c:v>-53.7183584259309</c:v>
                </c:pt>
                <c:pt idx="425">
                  <c:v>-53.9285329905812</c:v>
                </c:pt>
                <c:pt idx="426">
                  <c:v>-54.1242253491414</c:v>
                </c:pt>
                <c:pt idx="427">
                  <c:v>-54.3053853322057</c:v>
                </c:pt>
                <c:pt idx="428">
                  <c:v>-54.4719695437209</c:v>
                </c:pt>
                <c:pt idx="429">
                  <c:v>-54.623941155363</c:v>
                </c:pt>
                <c:pt idx="430">
                  <c:v>-54.7612697169869</c:v>
                </c:pt>
                <c:pt idx="431">
                  <c:v>-54.883930984727</c:v>
                </c:pt>
                <c:pt idx="432">
                  <c:v>-54.9919067681409</c:v>
                </c:pt>
                <c:pt idx="433">
                  <c:v>-55.085184797616</c:v>
                </c:pt>
                <c:pt idx="434">
                  <c:v>-55.1637586130827</c:v>
                </c:pt>
                <c:pt idx="435">
                  <c:v>-55.2276274749041</c:v>
                </c:pt>
                <c:pt idx="436">
                  <c:v>-55.2767962976447</c:v>
                </c:pt>
                <c:pt idx="437">
                  <c:v>-55.3112756072436</c:v>
                </c:pt>
                <c:pt idx="438">
                  <c:v>-55.3310815219613</c:v>
                </c:pt>
                <c:pt idx="439">
                  <c:v>-55.3362357572877</c:v>
                </c:pt>
                <c:pt idx="440">
                  <c:v>-55.3267656548475</c:v>
                </c:pt>
                <c:pt idx="441">
                  <c:v>-55.3027042351606</c:v>
                </c:pt>
                <c:pt idx="442">
                  <c:v>-55.2640902739552</c:v>
                </c:pt>
                <c:pt idx="443">
                  <c:v>-55.2109684015626</c:v>
                </c:pt>
                <c:pt idx="444">
                  <c:v>-55.1433892247504</c:v>
                </c:pt>
                <c:pt idx="445">
                  <c:v>-55.0614094701834</c:v>
                </c:pt>
                <c:pt idx="446">
                  <c:v>-54.9650921485322</c:v>
                </c:pt>
                <c:pt idx="447">
                  <c:v>-54.8545067380643</c:v>
                </c:pt>
                <c:pt idx="448">
                  <c:v>-54.7297293863889</c:v>
                </c:pt>
                <c:pt idx="449">
                  <c:v>-54.5908431288418</c:v>
                </c:pt>
                <c:pt idx="450">
                  <c:v>-54.4379381218184</c:v>
                </c:pt>
                <c:pt idx="451">
                  <c:v>-54.2711118891834</c:v>
                </c:pt>
                <c:pt idx="452">
                  <c:v>-54.0904695797099</c:v>
                </c:pt>
                <c:pt idx="453">
                  <c:v>-53.8961242333179</c:v>
                </c:pt>
                <c:pt idx="454">
                  <c:v>-53.6881970537107</c:v>
                </c:pt>
                <c:pt idx="455">
                  <c:v>-53.466817684837</c:v>
                </c:pt>
                <c:pt idx="456">
                  <c:v>-53.232124488444</c:v>
                </c:pt>
                <c:pt idx="457">
                  <c:v>-52.9842648198285</c:v>
                </c:pt>
                <c:pt idx="458">
                  <c:v>-52.7233952987555</c:v>
                </c:pt>
                <c:pt idx="459">
                  <c:v>-52.4496820723787</c:v>
                </c:pt>
                <c:pt idx="460">
                  <c:v>-52.1633010668883</c:v>
                </c:pt>
                <c:pt idx="461">
                  <c:v>-51.8644382245159</c:v>
                </c:pt>
                <c:pt idx="462">
                  <c:v>-51.5532897224591</c:v>
                </c:pt>
                <c:pt idx="463">
                  <c:v>-51.2300621702419</c:v>
                </c:pt>
                <c:pt idx="464">
                  <c:v>-50.8949727820116</c:v>
                </c:pt>
                <c:pt idx="465">
                  <c:v>-50.5482495202955</c:v>
                </c:pt>
                <c:pt idx="466">
                  <c:v>-50.1901312077848</c:v>
                </c:pt>
                <c:pt idx="467">
                  <c:v>-49.8208676038095</c:v>
                </c:pt>
                <c:pt idx="468">
                  <c:v>-49.4407194422958</c:v>
                </c:pt>
                <c:pt idx="469">
                  <c:v>-49.0499584281672</c:v>
                </c:pt>
                <c:pt idx="470">
                  <c:v>-48.6488671893677</c:v>
                </c:pt>
                <c:pt idx="471">
                  <c:v>-48.2377391819378</c:v>
                </c:pt>
                <c:pt idx="472">
                  <c:v>-47.8168785458823</c:v>
                </c:pt>
                <c:pt idx="473">
                  <c:v>-47.3865999099018</c:v>
                </c:pt>
                <c:pt idx="474">
                  <c:v>-46.9472281434514</c:v>
                </c:pt>
                <c:pt idx="475">
                  <c:v>-46.4990980550062</c:v>
                </c:pt>
                <c:pt idx="476">
                  <c:v>-46.0425540358694</c:v>
                </c:pt>
                <c:pt idx="477">
                  <c:v>-45.577949649343</c:v>
                </c:pt>
                <c:pt idx="478">
                  <c:v>-45.1056471655934</c:v>
                </c:pt>
                <c:pt idx="479">
                  <c:v>-44.6260170430645</c:v>
                </c:pt>
                <c:pt idx="480">
                  <c:v>-44.1394373578367</c:v>
                </c:pt>
                <c:pt idx="481">
                  <c:v>-43.6462931828694</c:v>
                </c:pt>
                <c:pt idx="482">
                  <c:v>-43.1469759196011</c:v>
                </c:pt>
                <c:pt idx="483">
                  <c:v>-42.6418825849111</c:v>
                </c:pt>
                <c:pt idx="484">
                  <c:v>-42.1314150569482</c:v>
                </c:pt>
                <c:pt idx="485">
                  <c:v>-41.6159792838106</c:v>
                </c:pt>
                <c:pt idx="486">
                  <c:v>-41.0959844594966</c:v>
                </c:pt>
                <c:pt idx="487">
                  <c:v>-40.5718421719412</c:v>
                </c:pt>
                <c:pt idx="488">
                  <c:v>-40.0439655282963</c:v>
                </c:pt>
                <c:pt idx="489">
                  <c:v>-39.5127682628915</c:v>
                </c:pt>
                <c:pt idx="490">
                  <c:v>-38.9786638335371</c:v>
                </c:pt>
                <c:pt idx="491">
                  <c:v>-38.4420645119807</c:v>
                </c:pt>
                <c:pt idx="492">
                  <c:v>-37.9033804744078</c:v>
                </c:pt>
                <c:pt idx="493">
                  <c:v>-37.3630188978996</c:v>
                </c:pt>
                <c:pt idx="494">
                  <c:v>-36.8213830686791</c:v>
                </c:pt>
                <c:pt idx="495">
                  <c:v>-36.2788715078692</c:v>
                </c:pt>
                <c:pt idx="496">
                  <c:v>-35.7358771202644</c:v>
                </c:pt>
                <c:pt idx="497">
                  <c:v>-35.1927863713684</c:v>
                </c:pt>
                <c:pt idx="498">
                  <c:v>-34.649978497625</c:v>
                </c:pt>
                <c:pt idx="499">
                  <c:v>-34.1078247543821</c:v>
                </c:pt>
                <c:pt idx="500">
                  <c:v>-33.5666877057284</c:v>
                </c:pt>
                <c:pt idx="501">
                  <c:v>-33.02692055986</c:v>
                </c:pt>
                <c:pt idx="502">
                  <c:v>-32.4888665531561</c:v>
                </c:pt>
                <c:pt idx="503">
                  <c:v>-31.9528583856311</c:v>
                </c:pt>
                <c:pt idx="504">
                  <c:v>-31.4192177098977</c:v>
                </c:pt>
                <c:pt idx="505">
                  <c:v>-30.8882546752453</c:v>
                </c:pt>
                <c:pt idx="506">
                  <c:v>-30.3602675279201</c:v>
                </c:pt>
                <c:pt idx="507">
                  <c:v>-29.8355422681545</c:v>
                </c:pt>
                <c:pt idx="508">
                  <c:v>-29.3143523640165</c:v>
                </c:pt>
                <c:pt idx="509">
                  <c:v>-28.7969585216541</c:v>
                </c:pt>
                <c:pt idx="510">
                  <c:v>-28.2836085110712</c:v>
                </c:pt>
                <c:pt idx="511">
                  <c:v>-27.7745370461524</c:v>
                </c:pt>
                <c:pt idx="512">
                  <c:v>-27.2699657172824</c:v>
                </c:pt>
                <c:pt idx="513">
                  <c:v>-26.7701029745618</c:v>
                </c:pt>
                <c:pt idx="514">
                  <c:v>-26.2751441593353</c:v>
                </c:pt>
                <c:pt idx="515">
                  <c:v>-25.7852715814858</c:v>
                </c:pt>
                <c:pt idx="516">
                  <c:v>-25.3006546397497</c:v>
                </c:pt>
                <c:pt idx="517">
                  <c:v>-24.8214499821374</c:v>
                </c:pt>
                <c:pt idx="518">
                  <c:v>-24.3478017034226</c:v>
                </c:pt>
                <c:pt idx="519">
                  <c:v>-23.8798415765721</c:v>
                </c:pt>
                <c:pt idx="520">
                  <c:v>-23.4176893149565</c:v>
                </c:pt>
                <c:pt idx="521">
                  <c:v>-22.9614528621542</c:v>
                </c:pt>
                <c:pt idx="522">
                  <c:v>-22.5112287061937</c:v>
                </c:pt>
                <c:pt idx="523">
                  <c:v>-22.067102215122</c:v>
                </c:pt>
                <c:pt idx="524">
                  <c:v>-21.6291479908658</c:v>
                </c:pt>
                <c:pt idx="525">
                  <c:v>-21.1974302384501</c:v>
                </c:pt>
                <c:pt idx="526">
                  <c:v>-20.7720031477526</c:v>
                </c:pt>
                <c:pt idx="527">
                  <c:v>-20.3529112851038</c:v>
                </c:pt>
                <c:pt idx="528">
                  <c:v>-19.9401899921988</c:v>
                </c:pt>
                <c:pt idx="529">
                  <c:v>-19.5338657899198</c:v>
                </c:pt>
                <c:pt idx="530">
                  <c:v>-19.1339567848578</c:v>
                </c:pt>
                <c:pt idx="531">
                  <c:v>-18.7404730764604</c:v>
                </c:pt>
                <c:pt idx="532">
                  <c:v>-18.353417162924</c:v>
                </c:pt>
                <c:pt idx="533">
                  <c:v>-17.9727843440991</c:v>
                </c:pt>
                <c:pt idx="534">
                  <c:v>-17.5985631198573</c:v>
                </c:pt>
                <c:pt idx="535">
                  <c:v>-17.2307355825209</c:v>
                </c:pt>
                <c:pt idx="536">
                  <c:v>-16.8692778021219</c:v>
                </c:pt>
                <c:pt idx="537">
                  <c:v>-16.5141602034037</c:v>
                </c:pt>
                <c:pt idx="538">
                  <c:v>-16.16534793363</c:v>
                </c:pt>
                <c:pt idx="539">
                  <c:v>-15.8228012203977</c:v>
                </c:pt>
                <c:pt idx="540">
                  <c:v>-15.4864757187859</c:v>
                </c:pt>
                <c:pt idx="541">
                  <c:v>-15.156322847289</c:v>
                </c:pt>
              </c:numCache>
            </c:numRef>
          </c:yVal>
          <c:smooth val="1"/>
        </c:ser>
        <c:dLbls>
          <c:showLegendKey val="0"/>
          <c:showVal val="0"/>
          <c:showCatName val="0"/>
          <c:showSerName val="0"/>
          <c:showPercent val="0"/>
          <c:showBubbleSize val="0"/>
        </c:dLbls>
        <c:axId val="178915200"/>
        <c:axId val="178913664"/>
      </c:scatterChart>
      <c:valAx>
        <c:axId val="17890137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03296"/>
        <c:crosses val="autoZero"/>
        <c:crossBetween val="midCat"/>
      </c:valAx>
      <c:valAx>
        <c:axId val="17890329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01376"/>
        <c:crosses val="autoZero"/>
        <c:crossBetween val="midCat"/>
        <c:majorUnit val="20"/>
        <c:minorUnit val="10"/>
      </c:valAx>
      <c:valAx>
        <c:axId val="17891520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13664"/>
        <c:crosses val="autoZero"/>
        <c:crossBetween val="midCat"/>
      </c:valAx>
      <c:valAx>
        <c:axId val="17891366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15200"/>
        <c:crosses val="max"/>
        <c:crossBetween val="midCat"/>
        <c:majorUnit val="90"/>
        <c:minorUnit val="45"/>
      </c:valAx>
    </c:plotArea>
    <c:plotVisOnly val="1"/>
    <c:dispBlanksAs val="gap"/>
    <c:showDLblsOverMax val="0"/>
    <c:extLst>
      <c:ext uri="{0b15fc19-7d7d-44ad-8c2d-2c3a37ce22c3}">
        <chartProps xmlns="https://web.wps.cn/et/2018/main" chartId="{b4989062-e712-4921-b8f5-b113f4e82bf7}"/>
      </c:ext>
    </c:extLst>
  </c:chart>
  <c:txPr>
    <a:bodyPr/>
    <a:lstStyle/>
    <a:p>
      <a:pPr>
        <a:defRPr lang="pl-PL"/>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Total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53.0845415694369</c:v>
                </c:pt>
                <c:pt idx="1">
                  <c:v>52.8845212185626</c:v>
                </c:pt>
                <c:pt idx="2">
                  <c:v>52.6844999091908</c:v>
                </c:pt>
                <c:pt idx="3">
                  <c:v>52.4844775962079</c:v>
                </c:pt>
                <c:pt idx="4">
                  <c:v>52.2844542323795</c:v>
                </c:pt>
                <c:pt idx="5">
                  <c:v>52.0844297682515</c:v>
                </c:pt>
                <c:pt idx="6">
                  <c:v>51.884404152046</c:v>
                </c:pt>
                <c:pt idx="7">
                  <c:v>51.684377329552</c:v>
                </c:pt>
                <c:pt idx="8">
                  <c:v>51.4843492440122</c:v>
                </c:pt>
                <c:pt idx="9">
                  <c:v>51.2843198360031</c:v>
                </c:pt>
                <c:pt idx="10">
                  <c:v>51.0842890433108</c:v>
                </c:pt>
                <c:pt idx="11">
                  <c:v>50.8842568007998</c:v>
                </c:pt>
                <c:pt idx="12">
                  <c:v>50.684223040277</c:v>
                </c:pt>
                <c:pt idx="13">
                  <c:v>50.484187690348</c:v>
                </c:pt>
                <c:pt idx="14">
                  <c:v>50.2841506762684</c:v>
                </c:pt>
                <c:pt idx="15">
                  <c:v>50.0841119197867</c:v>
                </c:pt>
                <c:pt idx="16">
                  <c:v>49.8840713389803</c:v>
                </c:pt>
                <c:pt idx="17">
                  <c:v>49.6840288480845</c:v>
                </c:pt>
                <c:pt idx="18">
                  <c:v>49.4839843573136</c:v>
                </c:pt>
                <c:pt idx="19">
                  <c:v>49.2839377726724</c:v>
                </c:pt>
                <c:pt idx="20">
                  <c:v>49.083888995761</c:v>
                </c:pt>
                <c:pt idx="21">
                  <c:v>48.8838379235687</c:v>
                </c:pt>
                <c:pt idx="22">
                  <c:v>48.6837844482601</c:v>
                </c:pt>
                <c:pt idx="23">
                  <c:v>48.4837284569498</c:v>
                </c:pt>
                <c:pt idx="24">
                  <c:v>48.2836698314683</c:v>
                </c:pt>
                <c:pt idx="25">
                  <c:v>48.0836084481156</c:v>
                </c:pt>
                <c:pt idx="26">
                  <c:v>47.8835441774051</c:v>
                </c:pt>
                <c:pt idx="27">
                  <c:v>47.6834768837944</c:v>
                </c:pt>
                <c:pt idx="28">
                  <c:v>47.4834064254048</c:v>
                </c:pt>
                <c:pt idx="29">
                  <c:v>47.2833326537275</c:v>
                </c:pt>
                <c:pt idx="30">
                  <c:v>47.0832554133162</c:v>
                </c:pt>
                <c:pt idx="31">
                  <c:v>46.8831745414669</c:v>
                </c:pt>
                <c:pt idx="32">
                  <c:v>46.6830898678813</c:v>
                </c:pt>
                <c:pt idx="33">
                  <c:v>46.4830012143172</c:v>
                </c:pt>
                <c:pt idx="34">
                  <c:v>46.2829083942209</c:v>
                </c:pt>
                <c:pt idx="35">
                  <c:v>46.0828112123447</c:v>
                </c:pt>
                <c:pt idx="36">
                  <c:v>45.8827094643464</c:v>
                </c:pt>
                <c:pt idx="37">
                  <c:v>45.6826029363706</c:v>
                </c:pt>
                <c:pt idx="38">
                  <c:v>45.4824914046124</c:v>
                </c:pt>
                <c:pt idx="39">
                  <c:v>45.2823746348601</c:v>
                </c:pt>
                <c:pt idx="40">
                  <c:v>45.0822523820185</c:v>
                </c:pt>
                <c:pt idx="41">
                  <c:v>44.8821243896113</c:v>
                </c:pt>
                <c:pt idx="42">
                  <c:v>44.6819903892601</c:v>
                </c:pt>
                <c:pt idx="43">
                  <c:v>44.4818501001419</c:v>
                </c:pt>
                <c:pt idx="44">
                  <c:v>44.2817032284217</c:v>
                </c:pt>
                <c:pt idx="45">
                  <c:v>44.0815494666612</c:v>
                </c:pt>
                <c:pt idx="46">
                  <c:v>43.8813884932001</c:v>
                </c:pt>
                <c:pt idx="47">
                  <c:v>43.6812199715125</c:v>
                </c:pt>
                <c:pt idx="48">
                  <c:v>43.4810435495338</c:v>
                </c:pt>
                <c:pt idx="49">
                  <c:v>43.2808588589589</c:v>
                </c:pt>
                <c:pt idx="50">
                  <c:v>43.0806655145111</c:v>
                </c:pt>
                <c:pt idx="51">
                  <c:v>42.8804631131786</c:v>
                </c:pt>
                <c:pt idx="52">
                  <c:v>42.6802512334189</c:v>
                </c:pt>
                <c:pt idx="53">
                  <c:v>42.4800294343302</c:v>
                </c:pt>
                <c:pt idx="54">
                  <c:v>42.2797972547869</c:v>
                </c:pt>
                <c:pt idx="55">
                  <c:v>42.0795542125396</c:v>
                </c:pt>
                <c:pt idx="56">
                  <c:v>41.8792998032775</c:v>
                </c:pt>
                <c:pt idx="57">
                  <c:v>41.6790334996519</c:v>
                </c:pt>
                <c:pt idx="58">
                  <c:v>41.4787547502606</c:v>
                </c:pt>
                <c:pt idx="59">
                  <c:v>41.2784629785891</c:v>
                </c:pt>
                <c:pt idx="60">
                  <c:v>41.0781575819114</c:v>
                </c:pt>
                <c:pt idx="61">
                  <c:v>40.8778379301447</c:v>
                </c:pt>
                <c:pt idx="62">
                  <c:v>40.6775033646605</c:v>
                </c:pt>
                <c:pt idx="63">
                  <c:v>40.4771531970477</c:v>
                </c:pt>
                <c:pt idx="64">
                  <c:v>40.2767867078279</c:v>
                </c:pt>
                <c:pt idx="65">
                  <c:v>40.0764031451224</c:v>
                </c:pt>
                <c:pt idx="66">
                  <c:v>39.8760017232666</c:v>
                </c:pt>
                <c:pt idx="67">
                  <c:v>39.6755816213743</c:v>
                </c:pt>
                <c:pt idx="68">
                  <c:v>39.4751419818477</c:v>
                </c:pt>
                <c:pt idx="69">
                  <c:v>39.274681908834</c:v>
                </c:pt>
                <c:pt idx="70">
                  <c:v>39.0742004666253</c:v>
                </c:pt>
                <c:pt idx="71">
                  <c:v>38.8736966780031</c:v>
                </c:pt>
                <c:pt idx="72">
                  <c:v>38.6731695225254</c:v>
                </c:pt>
                <c:pt idx="73">
                  <c:v>38.4726179347546</c:v>
                </c:pt>
                <c:pt idx="74">
                  <c:v>38.2720408024276</c:v>
                </c:pt>
                <c:pt idx="75">
                  <c:v>38.0714369645653</c:v>
                </c:pt>
                <c:pt idx="76">
                  <c:v>37.8708052095229</c:v>
                </c:pt>
                <c:pt idx="77">
                  <c:v>37.67014427298</c:v>
                </c:pt>
                <c:pt idx="78">
                  <c:v>37.46945283587</c:v>
                </c:pt>
                <c:pt idx="79">
                  <c:v>37.2687295222501</c:v>
                </c:pt>
                <c:pt idx="80">
                  <c:v>37.0679728971118</c:v>
                </c:pt>
                <c:pt idx="81">
                  <c:v>36.8671814641321</c:v>
                </c:pt>
                <c:pt idx="82">
                  <c:v>36.6663536633685</c:v>
                </c:pt>
                <c:pt idx="83">
                  <c:v>36.4654878688965</c:v>
                </c:pt>
                <c:pt idx="84">
                  <c:v>36.2645823863942</c:v>
                </c:pt>
                <c:pt idx="85">
                  <c:v>36.0636354506747</c:v>
                </c:pt>
                <c:pt idx="86">
                  <c:v>35.8626452231699</c:v>
                </c:pt>
                <c:pt idx="87">
                  <c:v>35.6616097893683</c:v>
                </c:pt>
                <c:pt idx="88">
                  <c:v>35.4605271562128</c:v>
                </c:pt>
                <c:pt idx="89">
                  <c:v>35.2593952494604</c:v>
                </c:pt>
                <c:pt idx="90">
                  <c:v>35.0582119110126</c:v>
                </c:pt>
                <c:pt idx="91">
                  <c:v>34.8569748962189</c:v>
                </c:pt>
                <c:pt idx="92">
                  <c:v>34.6556818711639</c:v>
                </c:pt>
                <c:pt idx="93">
                  <c:v>34.4543304099445</c:v>
                </c:pt>
                <c:pt idx="94">
                  <c:v>34.2529179919462</c:v>
                </c:pt>
                <c:pt idx="95">
                  <c:v>34.0514419991289</c:v>
                </c:pt>
                <c:pt idx="96">
                  <c:v>33.8498997133341</c:v>
                </c:pt>
                <c:pt idx="97">
                  <c:v>33.6482883136246</c:v>
                </c:pt>
                <c:pt idx="98">
                  <c:v>33.4466048736727</c:v>
                </c:pt>
                <c:pt idx="99">
                  <c:v>33.2448463592101</c:v>
                </c:pt>
                <c:pt idx="100">
                  <c:v>33.0430096255588</c:v>
                </c:pt>
                <c:pt idx="101">
                  <c:v>32.8410914152586</c:v>
                </c:pt>
                <c:pt idx="102">
                  <c:v>32.6390883558146</c:v>
                </c:pt>
                <c:pt idx="103">
                  <c:v>32.4369969575847</c:v>
                </c:pt>
                <c:pt idx="104">
                  <c:v>32.2348136118319</c:v>
                </c:pt>
                <c:pt idx="105">
                  <c:v>32.032534588967</c:v>
                </c:pt>
                <c:pt idx="106">
                  <c:v>31.8301560370097</c:v>
                </c:pt>
                <c:pt idx="107">
                  <c:v>31.6276739802997</c:v>
                </c:pt>
                <c:pt idx="108">
                  <c:v>31.4250843184877</c:v>
                </c:pt>
                <c:pt idx="109">
                  <c:v>31.2223828258434</c:v>
                </c:pt>
                <c:pt idx="110">
                  <c:v>31.019565150916</c:v>
                </c:pt>
                <c:pt idx="111">
                  <c:v>30.8166268165867</c:v>
                </c:pt>
                <c:pt idx="112">
                  <c:v>30.6135632205559</c:v>
                </c:pt>
                <c:pt idx="113">
                  <c:v>30.4103696363078</c:v>
                </c:pt>
                <c:pt idx="114">
                  <c:v>30.2070412145991</c:v>
                </c:pt>
                <c:pt idx="115">
                  <c:v>30.0035729855199</c:v>
                </c:pt>
                <c:pt idx="116">
                  <c:v>29.7999598611786</c:v>
                </c:pt>
                <c:pt idx="117">
                  <c:v>29.5961966390605</c:v>
                </c:pt>
                <c:pt idx="118">
                  <c:v>29.3922780061168</c:v>
                </c:pt>
                <c:pt idx="119">
                  <c:v>29.1881985436378</c:v>
                </c:pt>
                <c:pt idx="120">
                  <c:v>28.9839527329674</c:v>
                </c:pt>
                <c:pt idx="121">
                  <c:v>28.7795349621157</c:v>
                </c:pt>
                <c:pt idx="122">
                  <c:v>28.5749395333287</c:v>
                </c:pt>
                <c:pt idx="123">
                  <c:v>28.3701606716699</c:v>
                </c:pt>
                <c:pt idx="124">
                  <c:v>28.1651925346723</c:v>
                </c:pt>
                <c:pt idx="125">
                  <c:v>27.9600292231163</c:v>
                </c:pt>
                <c:pt idx="126">
                  <c:v>27.7546647929827</c:v>
                </c:pt>
                <c:pt idx="127">
                  <c:v>27.5490932686348</c:v>
                </c:pt>
                <c:pt idx="128">
                  <c:v>27.3433086572721</c:v>
                </c:pt>
                <c:pt idx="129">
                  <c:v>27.1373049646971</c:v>
                </c:pt>
                <c:pt idx="130">
                  <c:v>26.9310762124288</c:v>
                </c:pt>
                <c:pt idx="131">
                  <c:v>26.7246164561914</c:v>
                </c:pt>
                <c:pt idx="132">
                  <c:v>26.517919805793</c:v>
                </c:pt>
                <c:pt idx="133">
                  <c:v>26.310980446407</c:v>
                </c:pt>
                <c:pt idx="134">
                  <c:v>26.1037926612483</c:v>
                </c:pt>
                <c:pt idx="135">
                  <c:v>25.8963508556312</c:v>
                </c:pt>
                <c:pt idx="136">
                  <c:v>25.6886495823782</c:v>
                </c:pt>
                <c:pt idx="137">
                  <c:v>25.4806835685313</c:v>
                </c:pt>
                <c:pt idx="138">
                  <c:v>25.2724477433059</c:v>
                </c:pt>
                <c:pt idx="139">
                  <c:v>25.0639372672024</c:v>
                </c:pt>
                <c:pt idx="140">
                  <c:v>24.8551475621753</c:v>
                </c:pt>
                <c:pt idx="141">
                  <c:v>24.6460743427369</c:v>
                </c:pt>
                <c:pt idx="142">
                  <c:v>24.4367136478492</c:v>
                </c:pt>
                <c:pt idx="143">
                  <c:v>24.2270618734393</c:v>
                </c:pt>
                <c:pt idx="144">
                  <c:v>24.0171158053452</c:v>
                </c:pt>
                <c:pt idx="145">
                  <c:v>23.8068726524784</c:v>
                </c:pt>
                <c:pt idx="146">
                  <c:v>23.5963300799657</c:v>
                </c:pt>
                <c:pt idx="147">
                  <c:v>23.3854862420095</c:v>
                </c:pt>
                <c:pt idx="148">
                  <c:v>23.1743398141841</c:v>
                </c:pt>
                <c:pt idx="149">
                  <c:v>22.9628900248657</c:v>
                </c:pt>
                <c:pt idx="150">
                  <c:v>22.7511366854732</c:v>
                </c:pt>
                <c:pt idx="151">
                  <c:v>22.5390802191842</c:v>
                </c:pt>
                <c:pt idx="152">
                  <c:v>22.326721687775</c:v>
                </c:pt>
                <c:pt idx="153">
                  <c:v>22.1140628162223</c:v>
                </c:pt>
                <c:pt idx="154">
                  <c:v>21.9011060147064</c:v>
                </c:pt>
                <c:pt idx="155">
                  <c:v>21.6878543976431</c:v>
                </c:pt>
                <c:pt idx="156">
                  <c:v>21.474311799388</c:v>
                </c:pt>
                <c:pt idx="157">
                  <c:v>21.2604827862567</c:v>
                </c:pt>
                <c:pt idx="158">
                  <c:v>21.0463726645254</c:v>
                </c:pt>
                <c:pt idx="159">
                  <c:v>20.8319874840973</c:v>
                </c:pt>
                <c:pt idx="160">
                  <c:v>20.6173340375438</c:v>
                </c:pt>
                <c:pt idx="161">
                  <c:v>20.4024198542688</c:v>
                </c:pt>
                <c:pt idx="162">
                  <c:v>20.1872531895798</c:v>
                </c:pt>
                <c:pt idx="163">
                  <c:v>19.971843008495</c:v>
                </c:pt>
                <c:pt idx="164">
                  <c:v>19.7561989641703</c:v>
                </c:pt>
                <c:pt idx="165">
                  <c:v>19.5403313708785</c:v>
                </c:pt>
                <c:pt idx="166">
                  <c:v>19.3242511715375</c:v>
                </c:pt>
                <c:pt idx="167">
                  <c:v>19.1079698998446</c:v>
                </c:pt>
                <c:pt idx="168">
                  <c:v>18.8914996371371</c:v>
                </c:pt>
                <c:pt idx="169">
                  <c:v>18.6748529641668</c:v>
                </c:pt>
                <c:pt idx="170">
                  <c:v>18.4580429080366</c:v>
                </c:pt>
                <c:pt idx="171">
                  <c:v>18.2410828846175</c:v>
                </c:pt>
                <c:pt idx="172">
                  <c:v>18.0239866368171</c:v>
                </c:pt>
                <c:pt idx="173">
                  <c:v>17.8067681691342</c:v>
                </c:pt>
                <c:pt idx="174">
                  <c:v>17.5894416789803</c:v>
                </c:pt>
                <c:pt idx="175">
                  <c:v>17.3720214852982</c:v>
                </c:pt>
                <c:pt idx="176">
                  <c:v>17.154521955043</c:v>
                </c:pt>
                <c:pt idx="177">
                  <c:v>16.9369574281218</c:v>
                </c:pt>
                <c:pt idx="178">
                  <c:v>16.71934214141</c:v>
                </c:pt>
                <c:pt idx="179">
                  <c:v>16.5016901524734</c:v>
                </c:pt>
                <c:pt idx="180">
                  <c:v>16.2840152636273</c:v>
                </c:pt>
                <c:pt idx="181">
                  <c:v>16.0663309469576</c:v>
                </c:pt>
                <c:pt idx="182">
                  <c:v>15.8486502709129</c:v>
                </c:pt>
                <c:pt idx="183">
                  <c:v>15.630985829048</c:v>
                </c:pt>
                <c:pt idx="184">
                  <c:v>15.41334967147</c:v>
                </c:pt>
                <c:pt idx="185">
                  <c:v>15.1957532394936</c:v>
                </c:pt>
                <c:pt idx="186">
                  <c:v>14.9782073039637</c:v>
                </c:pt>
                <c:pt idx="187">
                  <c:v>14.7607219076541</c:v>
                </c:pt>
                <c:pt idx="188">
                  <c:v>14.5433063120864</c:v>
                </c:pt>
                <c:pt idx="189">
                  <c:v>14.3259689490578</c:v>
                </c:pt>
                <c:pt idx="190">
                  <c:v>14.1087173771013</c:v>
                </c:pt>
                <c:pt idx="191">
                  <c:v>13.8915582430356</c:v>
                </c:pt>
                <c:pt idx="192">
                  <c:v>13.6744972487034</c:v>
                </c:pt>
                <c:pt idx="193">
                  <c:v>13.4575391229311</c:v>
                </c:pt>
                <c:pt idx="194">
                  <c:v>13.2406875986868</c:v>
                </c:pt>
                <c:pt idx="195">
                  <c:v>13.0239453953558</c:v>
                </c:pt>
                <c:pt idx="196">
                  <c:v>12.8073142060063</c:v>
                </c:pt>
                <c:pt idx="197">
                  <c:v>12.5907946894668</c:v>
                </c:pt>
                <c:pt idx="198">
                  <c:v>12.3743864670027</c:v>
                </c:pt>
                <c:pt idx="199">
                  <c:v>12.1580881233419</c:v>
                </c:pt>
                <c:pt idx="200">
                  <c:v>11.9418972117744</c:v>
                </c:pt>
                <c:pt idx="201">
                  <c:v>11.7258102630265</c:v>
                </c:pt>
                <c:pt idx="202">
                  <c:v>11.5098227975992</c:v>
                </c:pt>
                <c:pt idx="203">
                  <c:v>11.2939293412505</c:v>
                </c:pt>
                <c:pt idx="204">
                  <c:v>11.0781234432944</c:v>
                </c:pt>
                <c:pt idx="205">
                  <c:v>10.8623976973993</c:v>
                </c:pt>
                <c:pt idx="206">
                  <c:v>10.6467437645685</c:v>
                </c:pt>
                <c:pt idx="207">
                  <c:v>10.4311523980041</c:v>
                </c:pt>
                <c:pt idx="208">
                  <c:v>10.2156134695671</c:v>
                </c:pt>
                <c:pt idx="209">
                  <c:v>10.0001159975673</c:v>
                </c:pt>
                <c:pt idx="210">
                  <c:v>9.78464817564104</c:v>
                </c:pt>
                <c:pt idx="211">
                  <c:v>9.56919740249709</c:v>
                </c:pt>
                <c:pt idx="212">
                  <c:v>9.35375031233978</c:v>
                </c:pt>
                <c:pt idx="213">
                  <c:v>9.13829280580436</c:v>
                </c:pt>
                <c:pt idx="214">
                  <c:v>8.92281008127177</c:v>
                </c:pt>
                <c:pt idx="215">
                  <c:v>8.70728666645496</c:v>
                </c:pt>
                <c:pt idx="216">
                  <c:v>8.49170645018377</c:v>
                </c:pt>
                <c:pt idx="217">
                  <c:v>8.27605271433807</c:v>
                </c:pt>
                <c:pt idx="218">
                  <c:v>8.06030816591349</c:v>
                </c:pt>
                <c:pt idx="219">
                  <c:v>7.8444549692267</c:v>
                </c:pt>
                <c:pt idx="220">
                  <c:v>7.62847477829564</c:v>
                </c:pt>
                <c:pt idx="221">
                  <c:v>7.41234876945366</c:v>
                </c:pt>
                <c:pt idx="222">
                  <c:v>7.19605767428136</c:v>
                </c:pt>
                <c:pt idx="223">
                  <c:v>6.97958181295773</c:v>
                </c:pt>
                <c:pt idx="224">
                  <c:v>6.76290112815492</c:v>
                </c:pt>
                <c:pt idx="225">
                  <c:v>6.54599521961496</c:v>
                </c:pt>
                <c:pt idx="226">
                  <c:v>6.32884337956377</c:v>
                </c:pt>
                <c:pt idx="227">
                  <c:v>6.11142462912784</c:v>
                </c:pt>
                <c:pt idx="228">
                  <c:v>5.89371775593099</c:v>
                </c:pt>
                <c:pt idx="229">
                  <c:v>5.67570135305331</c:v>
                </c:pt>
                <c:pt idx="230">
                  <c:v>5.45735385954117</c:v>
                </c:pt>
                <c:pt idx="231">
                  <c:v>5.23865360265725</c:v>
                </c:pt>
                <c:pt idx="232">
                  <c:v>5.01957884205648</c:v>
                </c:pt>
                <c:pt idx="233">
                  <c:v>4.80010781607484</c:v>
                </c:pt>
                <c:pt idx="234">
                  <c:v>4.58021879030226</c:v>
                </c:pt>
                <c:pt idx="235">
                  <c:v>4.35989010860682</c:v>
                </c:pt>
                <c:pt idx="236">
                  <c:v>4.13910024675812</c:v>
                </c:pt>
                <c:pt idx="237">
                  <c:v>3.9178278687833</c:v>
                </c:pt>
                <c:pt idx="238">
                  <c:v>3.69605188616383</c:v>
                </c:pt>
                <c:pt idx="239">
                  <c:v>3.47375151995953</c:v>
                </c:pt>
                <c:pt idx="240">
                  <c:v>3.25090636591398</c:v>
                </c:pt>
                <c:pt idx="241">
                  <c:v>3.02749646256633</c:v>
                </c:pt>
                <c:pt idx="242">
                  <c:v>2.80350236235403</c:v>
                </c:pt>
                <c:pt idx="243">
                  <c:v>2.57890520565476</c:v>
                </c:pt>
                <c:pt idx="244">
                  <c:v>2.35368679767025</c:v>
                </c:pt>
                <c:pt idx="245">
                  <c:v>2.12782968800907</c:v>
                </c:pt>
                <c:pt idx="246">
                  <c:v>1.90131725277483</c:v>
                </c:pt>
                <c:pt idx="247">
                  <c:v>1.67413377891574</c:v>
                </c:pt>
                <c:pt idx="248">
                  <c:v>1.44626455053557</c:v>
                </c:pt>
                <c:pt idx="249">
                  <c:v>1.21769593681044</c:v>
                </c:pt>
                <c:pt idx="250">
                  <c:v>0.988415481099161</c:v>
                </c:pt>
                <c:pt idx="251">
                  <c:v>0.758411990777652</c:v>
                </c:pt>
                <c:pt idx="252">
                  <c:v>0.527675627269438</c:v>
                </c:pt>
                <c:pt idx="253">
                  <c:v>0.296197995690329</c:v>
                </c:pt>
                <c:pt idx="254">
                  <c:v>0.0639722334710772</c:v>
                </c:pt>
                <c:pt idx="255">
                  <c:v>-0.169006902728458</c:v>
                </c:pt>
                <c:pt idx="256">
                  <c:v>-0.402742952545745</c:v>
                </c:pt>
                <c:pt idx="257">
                  <c:v>-0.637237670656489</c:v>
                </c:pt>
                <c:pt idx="258">
                  <c:v>-0.872490949534345</c:v>
                </c:pt>
                <c:pt idx="259">
                  <c:v>-1.10850074706594</c:v>
                </c:pt>
                <c:pt idx="260">
                  <c:v>-1.34526301986903</c:v>
                </c:pt>
                <c:pt idx="261">
                  <c:v>-1.58277166317496</c:v>
                </c:pt>
                <c:pt idx="262">
                  <c:v>-1.82101845813036</c:v>
                </c:pt>
                <c:pt idx="263">
                  <c:v>-2.05999302736103</c:v>
                </c:pt>
                <c:pt idx="264">
                  <c:v>-2.29968279961359</c:v>
                </c:pt>
                <c:pt idx="265">
                  <c:v>-2.54007298425323</c:v>
                </c:pt>
                <c:pt idx="266">
                  <c:v>-2.78114655634177</c:v>
                </c:pt>
                <c:pt idx="267">
                  <c:v>-3.02288425295945</c:v>
                </c:pt>
                <c:pt idx="268">
                  <c:v>-3.26526458135246</c:v>
                </c:pt>
                <c:pt idx="269">
                  <c:v>-3.50826383940265</c:v>
                </c:pt>
                <c:pt idx="270">
                  <c:v>-3.75185614881167</c:v>
                </c:pt>
                <c:pt idx="271">
                  <c:v>-3.99601350128205</c:v>
                </c:pt>
                <c:pt idx="272">
                  <c:v>-4.24070581785598</c:v>
                </c:pt>
                <c:pt idx="273">
                  <c:v>-4.48590102144301</c:v>
                </c:pt>
                <c:pt idx="274">
                  <c:v>-4.73156512243423</c:v>
                </c:pt>
                <c:pt idx="275">
                  <c:v>-4.97766231715993</c:v>
                </c:pt>
                <c:pt idx="276">
                  <c:v>-5.22415509880563</c:v>
                </c:pt>
                <c:pt idx="277">
                  <c:v>-5.47100438026229</c:v>
                </c:pt>
                <c:pt idx="278">
                  <c:v>-5.71816962824482</c:v>
                </c:pt>
                <c:pt idx="279">
                  <c:v>-5.96560900787931</c:v>
                </c:pt>
                <c:pt idx="280">
                  <c:v>-6.21327953683328</c:v>
                </c:pt>
                <c:pt idx="281">
                  <c:v>-6.46113724794209</c:v>
                </c:pt>
                <c:pt idx="282">
                  <c:v>-6.70913735918207</c:v>
                </c:pt>
                <c:pt idx="283">
                  <c:v>-6.95723444974185</c:v>
                </c:pt>
                <c:pt idx="284">
                  <c:v>-7.20538264087023</c:v>
                </c:pt>
                <c:pt idx="285">
                  <c:v>-7.45353578011467</c:v>
                </c:pt>
                <c:pt idx="286">
                  <c:v>-7.70164762751829</c:v>
                </c:pt>
                <c:pt idx="287">
                  <c:v>-7.94967204232157</c:v>
                </c:pt>
                <c:pt idx="288">
                  <c:v>-8.19756316870533</c:v>
                </c:pt>
                <c:pt idx="289">
                  <c:v>-8.44527561912541</c:v>
                </c:pt>
                <c:pt idx="290">
                  <c:v>-8.6927646538196</c:v>
                </c:pt>
                <c:pt idx="291">
                  <c:v>-8.93998635511942</c:v>
                </c:pt>
                <c:pt idx="292">
                  <c:v>-9.18689779526388</c:v>
                </c:pt>
                <c:pt idx="293">
                  <c:v>-9.43345719649828</c:v>
                </c:pt>
                <c:pt idx="294">
                  <c:v>-9.67962408233642</c:v>
                </c:pt>
                <c:pt idx="295">
                  <c:v>-9.92535941897774</c:v>
                </c:pt>
                <c:pt idx="296">
                  <c:v>-10.1706257459914</c:v>
                </c:pt>
                <c:pt idx="297">
                  <c:v>-10.4153872955083</c:v>
                </c:pt>
                <c:pt idx="298">
                  <c:v>-10.6596100993017</c:v>
                </c:pt>
                <c:pt idx="299">
                  <c:v>-10.9032620832743</c:v>
                </c:pt>
                <c:pt idx="300">
                  <c:v>-11.1463131490144</c:v>
                </c:pt>
                <c:pt idx="301">
                  <c:v>-11.3887352422236</c:v>
                </c:pt>
                <c:pt idx="302">
                  <c:v>-11.6305024079591</c:v>
                </c:pt>
                <c:pt idx="303">
                  <c:v>-11.8715908327687</c:v>
                </c:pt>
                <c:pt idx="304">
                  <c:v>-12.111978873919</c:v>
                </c:pt>
                <c:pt idx="305">
                  <c:v>-12.3516470760448</c:v>
                </c:pt>
                <c:pt idx="306">
                  <c:v>-12.5905781756495</c:v>
                </c:pt>
                <c:pt idx="307">
                  <c:v>-12.8287570939911</c:v>
                </c:pt>
                <c:pt idx="308">
                  <c:v>-13.0661709189713</c:v>
                </c:pt>
                <c:pt idx="309">
                  <c:v>-13.3028088767212</c:v>
                </c:pt>
                <c:pt idx="310">
                  <c:v>-13.5386622936415</c:v>
                </c:pt>
                <c:pt idx="311">
                  <c:v>-13.7737245496988</c:v>
                </c:pt>
                <c:pt idx="312">
                  <c:v>-14.007991023822</c:v>
                </c:pt>
                <c:pt idx="313">
                  <c:v>-14.2414590322621</c:v>
                </c:pt>
                <c:pt idx="314">
                  <c:v>-14.4741277607942</c:v>
                </c:pt>
                <c:pt idx="315">
                  <c:v>-14.7059981916388</c:v>
                </c:pt>
                <c:pt idx="316">
                  <c:v>-14.9370730259726</c:v>
                </c:pt>
                <c:pt idx="317">
                  <c:v>-15.1673566028798</c:v>
                </c:pt>
                <c:pt idx="318">
                  <c:v>-15.3968548155661</c:v>
                </c:pt>
                <c:pt idx="319">
                  <c:v>-15.6255750256288</c:v>
                </c:pt>
                <c:pt idx="320">
                  <c:v>-15.8535259761283</c:v>
                </c:pt>
                <c:pt idx="321">
                  <c:v>-16.0807177041706</c:v>
                </c:pt>
                <c:pt idx="322">
                  <c:v>-16.3071614536524</c:v>
                </c:pt>
                <c:pt idx="323">
                  <c:v>-16.5328695887759</c:v>
                </c:pt>
                <c:pt idx="324">
                  <c:v>-16.7578555088808</c:v>
                </c:pt>
                <c:pt idx="325">
                  <c:v>-16.982133565092</c:v>
                </c:pt>
                <c:pt idx="326">
                  <c:v>-17.2057189792201</c:v>
                </c:pt>
                <c:pt idx="327">
                  <c:v>-17.4286277653034</c:v>
                </c:pt>
                <c:pt idx="328">
                  <c:v>-17.6508766541241</c:v>
                </c:pt>
                <c:pt idx="329">
                  <c:v>-17.8724830209793</c:v>
                </c:pt>
                <c:pt idx="330">
                  <c:v>-18.093464816942</c:v>
                </c:pt>
                <c:pt idx="331">
                  <c:v>-18.3138405037967</c:v>
                </c:pt>
                <c:pt idx="332">
                  <c:v>-18.5336289927937</c:v>
                </c:pt>
                <c:pt idx="333">
                  <c:v>-18.7528495873247</c:v>
                </c:pt>
                <c:pt idx="334">
                  <c:v>-18.9715219295867</c:v>
                </c:pt>
                <c:pt idx="335">
                  <c:v>-19.1896659512642</c:v>
                </c:pt>
                <c:pt idx="336">
                  <c:v>-19.407301828234</c:v>
                </c:pt>
                <c:pt idx="337">
                  <c:v>-19.6244499392663</c:v>
                </c:pt>
                <c:pt idx="338">
                  <c:v>-19.8411308286741</c:v>
                </c:pt>
                <c:pt idx="339">
                  <c:v>-20.0573651728413</c:v>
                </c:pt>
                <c:pt idx="340">
                  <c:v>-20.2731737505421</c:v>
                </c:pt>
                <c:pt idx="341">
                  <c:v>-20.4885774169514</c:v>
                </c:pt>
                <c:pt idx="342">
                  <c:v>-20.7035970812318</c:v>
                </c:pt>
                <c:pt idx="343">
                  <c:v>-20.918253687572</c:v>
                </c:pt>
                <c:pt idx="344">
                  <c:v>-21.1325681995483</c:v>
                </c:pt>
                <c:pt idx="345">
                  <c:v>-21.3465615876707</c:v>
                </c:pt>
                <c:pt idx="346">
                  <c:v>-21.560254819973</c:v>
                </c:pt>
                <c:pt idx="347">
                  <c:v>-21.7736688555054</c:v>
                </c:pt>
                <c:pt idx="348">
                  <c:v>-21.9868246405859</c:v>
                </c:pt>
                <c:pt idx="349">
                  <c:v>-22.1997431076667</c:v>
                </c:pt>
                <c:pt idx="350">
                  <c:v>-22.4124451766764</c:v>
                </c:pt>
                <c:pt idx="351">
                  <c:v>-22.6249517586961</c:v>
                </c:pt>
                <c:pt idx="352">
                  <c:v>-22.8372837618365</c:v>
                </c:pt>
                <c:pt idx="353">
                  <c:v>-23.0494620991797</c:v>
                </c:pt>
                <c:pt idx="354">
                  <c:v>-23.2615076986615</c:v>
                </c:pt>
                <c:pt idx="355">
                  <c:v>-23.4734415147665</c:v>
                </c:pt>
                <c:pt idx="356">
                  <c:v>-23.6852845419179</c:v>
                </c:pt>
                <c:pt idx="357">
                  <c:v>-23.8970578294459</c:v>
                </c:pt>
                <c:pt idx="358">
                  <c:v>-24.1087824980241</c:v>
                </c:pt>
                <c:pt idx="359">
                  <c:v>-24.3204797574663</c:v>
                </c:pt>
                <c:pt idx="360">
                  <c:v>-24.5321709257831</c:v>
                </c:pt>
                <c:pt idx="361">
                  <c:v>-24.7438774493976</c:v>
                </c:pt>
                <c:pt idx="362">
                  <c:v>-24.9556209244253</c:v>
                </c:pt>
                <c:pt idx="363">
                  <c:v>-25.1674231189285</c:v>
                </c:pt>
                <c:pt idx="364">
                  <c:v>-25.3793059960514</c:v>
                </c:pt>
                <c:pt idx="365">
                  <c:v>-25.5912917379544</c:v>
                </c:pt>
                <c:pt idx="366">
                  <c:v>-25.8034027704579</c:v>
                </c:pt>
                <c:pt idx="367">
                  <c:v>-26.0156617883143</c:v>
                </c:pt>
                <c:pt idx="368">
                  <c:v>-26.2280917810241</c:v>
                </c:pt>
                <c:pt idx="369">
                  <c:v>-26.4407160591131</c:v>
                </c:pt>
                <c:pt idx="370">
                  <c:v>-26.6535582807883</c:v>
                </c:pt>
                <c:pt idx="371">
                  <c:v>-26.8666424788869</c:v>
                </c:pt>
                <c:pt idx="372">
                  <c:v>-27.0799930880332</c:v>
                </c:pt>
                <c:pt idx="373">
                  <c:v>-27.2936349719154</c:v>
                </c:pt>
                <c:pt idx="374">
                  <c:v>-27.5075934505919</c:v>
                </c:pt>
                <c:pt idx="375">
                  <c:v>-27.7218943277317</c:v>
                </c:pt>
                <c:pt idx="376">
                  <c:v>-27.9365639176922</c:v>
                </c:pt>
                <c:pt idx="377">
                  <c:v>-28.1516290723309</c:v>
                </c:pt>
                <c:pt idx="378">
                  <c:v>-28.3671172074446</c:v>
                </c:pt>
                <c:pt idx="379">
                  <c:v>-28.5830563287219</c:v>
                </c:pt>
                <c:pt idx="380">
                  <c:v>-28.79947505709</c:v>
                </c:pt>
                <c:pt idx="381">
                  <c:v>-29.0164026533318</c:v>
                </c:pt>
                <c:pt idx="382">
                  <c:v>-29.2338690418391</c:v>
                </c:pt>
                <c:pt idx="383">
                  <c:v>-29.451904833363</c:v>
                </c:pt>
                <c:pt idx="384">
                  <c:v>-29.6705413466156</c:v>
                </c:pt>
                <c:pt idx="385">
                  <c:v>-29.8898106285677</c:v>
                </c:pt>
                <c:pt idx="386">
                  <c:v>-30.1097454732795</c:v>
                </c:pt>
                <c:pt idx="387">
                  <c:v>-30.3303794390956</c:v>
                </c:pt>
                <c:pt idx="388">
                  <c:v>-30.5517468640272</c:v>
                </c:pt>
                <c:pt idx="389">
                  <c:v>-30.7738828791352</c:v>
                </c:pt>
                <c:pt idx="390">
                  <c:v>-30.996823419723</c:v>
                </c:pt>
                <c:pt idx="391">
                  <c:v>-31.2206052341409</c:v>
                </c:pt>
                <c:pt idx="392">
                  <c:v>-31.445265889998</c:v>
                </c:pt>
                <c:pt idx="393">
                  <c:v>-31.670843777572</c:v>
                </c:pt>
                <c:pt idx="394">
                  <c:v>-31.897378110204</c:v>
                </c:pt>
                <c:pt idx="395">
                  <c:v>-32.1249089214627</c:v>
                </c:pt>
                <c:pt idx="396">
                  <c:v>-32.3534770588614</c:v>
                </c:pt>
                <c:pt idx="397">
                  <c:v>-32.5831241739089</c:v>
                </c:pt>
                <c:pt idx="398">
                  <c:v>-32.813892708283</c:v>
                </c:pt>
                <c:pt idx="399">
                  <c:v>-33.0458258759127</c:v>
                </c:pt>
                <c:pt idx="400">
                  <c:v>-33.2789676407675</c:v>
                </c:pt>
                <c:pt idx="401">
                  <c:v>-33.513362690158</c:v>
                </c:pt>
                <c:pt idx="402">
                  <c:v>-33.7490564033629</c:v>
                </c:pt>
                <c:pt idx="403">
                  <c:v>-33.9860948154159</c:v>
                </c:pt>
                <c:pt idx="404">
                  <c:v>-34.2245245758978</c:v>
                </c:pt>
                <c:pt idx="405">
                  <c:v>-34.4643929026043</c:v>
                </c:pt>
                <c:pt idx="406">
                  <c:v>-34.7057475299805</c:v>
                </c:pt>
                <c:pt idx="407">
                  <c:v>-34.9486366522424</c:v>
                </c:pt>
                <c:pt idx="408">
                  <c:v>-35.1931088611333</c:v>
                </c:pt>
                <c:pt idx="409">
                  <c:v>-35.4392130782971</c:v>
                </c:pt>
                <c:pt idx="410">
                  <c:v>-35.6869984822904</c:v>
                </c:pt>
                <c:pt idx="411">
                  <c:v>-35.9365144302861</c:v>
                </c:pt>
                <c:pt idx="412">
                  <c:v>-36.1878103745736</c:v>
                </c:pt>
                <c:pt idx="413">
                  <c:v>-36.4409357739949</c:v>
                </c:pt>
                <c:pt idx="414">
                  <c:v>-36.6959400005104</c:v>
                </c:pt>
                <c:pt idx="415">
                  <c:v>-36.9528722411281</c:v>
                </c:pt>
                <c:pt idx="416">
                  <c:v>-37.2117813954861</c:v>
                </c:pt>
                <c:pt idx="417">
                  <c:v>-37.4727159694175</c:v>
                </c:pt>
                <c:pt idx="418">
                  <c:v>-37.7357239648852</c:v>
                </c:pt>
                <c:pt idx="419">
                  <c:v>-38.0008527667121</c:v>
                </c:pt>
                <c:pt idx="420">
                  <c:v>-38.268149026584</c:v>
                </c:pt>
                <c:pt idx="421">
                  <c:v>-38.5376585448385</c:v>
                </c:pt>
                <c:pt idx="422">
                  <c:v>-38.8094261505999</c:v>
                </c:pt>
                <c:pt idx="423">
                  <c:v>-39.083495580843</c:v>
                </c:pt>
                <c:pt idx="424">
                  <c:v>-39.359909359011</c:v>
                </c:pt>
                <c:pt idx="425">
                  <c:v>-39.6387086738241</c:v>
                </c:pt>
                <c:pt idx="426">
                  <c:v>-39.9199332589376</c:v>
                </c:pt>
                <c:pt idx="427">
                  <c:v>-40.2036212741198</c:v>
                </c:pt>
                <c:pt idx="428">
                  <c:v>-40.4898091886121</c:v>
                </c:pt>
                <c:pt idx="429">
                  <c:v>-40.7785316673391</c:v>
                </c:pt>
                <c:pt idx="430">
                  <c:v>-41.0698214606126</c:v>
                </c:pt>
                <c:pt idx="431">
                  <c:v>-41.363709297955</c:v>
                </c:pt>
                <c:pt idx="432">
                  <c:v>-41.6602237866355</c:v>
                </c:pt>
                <c:pt idx="433">
                  <c:v>-41.9593913154743</c:v>
                </c:pt>
                <c:pt idx="434">
                  <c:v>-42.2612359644246</c:v>
                </c:pt>
                <c:pt idx="435">
                  <c:v>-42.5657794203878</c:v>
                </c:pt>
                <c:pt idx="436">
                  <c:v>-42.8730408996652</c:v>
                </c:pt>
                <c:pt idx="437">
                  <c:v>-43.1830370773825</c:v>
                </c:pt>
                <c:pt idx="438">
                  <c:v>-43.4957820241589</c:v>
                </c:pt>
                <c:pt idx="439">
                  <c:v>-43.8112871502309</c:v>
                </c:pt>
                <c:pt idx="440">
                  <c:v>-44.1295611571653</c:v>
                </c:pt>
                <c:pt idx="441">
                  <c:v>-44.4506099972368</c:v>
                </c:pt>
                <c:pt idx="442">
                  <c:v>-44.774436840477</c:v>
                </c:pt>
                <c:pt idx="443">
                  <c:v>-45.1010420493414</c:v>
                </c:pt>
                <c:pt idx="444">
                  <c:v>-45.4304231608869</c:v>
                </c:pt>
                <c:pt idx="445">
                  <c:v>-45.7625748763033</c:v>
                </c:pt>
                <c:pt idx="446">
                  <c:v>-46.0974890575956</c:v>
                </c:pt>
                <c:pt idx="447">
                  <c:v>-46.4351547311865</c:v>
                </c:pt>
                <c:pt idx="448">
                  <c:v>-46.7755580981759</c:v>
                </c:pt>
                <c:pt idx="449">
                  <c:v>-47.1186825509837</c:v>
                </c:pt>
                <c:pt idx="450">
                  <c:v>-47.4645086960894</c:v>
                </c:pt>
                <c:pt idx="451">
                  <c:v>-47.8130143825882</c:v>
                </c:pt>
                <c:pt idx="452">
                  <c:v>-48.1641747362892</c:v>
                </c:pt>
                <c:pt idx="453">
                  <c:v>-48.5179621991036</c:v>
                </c:pt>
                <c:pt idx="454">
                  <c:v>-48.8743465734932</c:v>
                </c:pt>
                <c:pt idx="455">
                  <c:v>-49.2332950717797</c:v>
                </c:pt>
                <c:pt idx="456">
                  <c:v>-49.5947723701553</c:v>
                </c:pt>
                <c:pt idx="457">
                  <c:v>-49.9587406672714</c:v>
                </c:pt>
                <c:pt idx="458">
                  <c:v>-50.3251597473191</c:v>
                </c:pt>
                <c:pt idx="459">
                  <c:v>-50.6939870475653</c:v>
                </c:pt>
                <c:pt idx="460">
                  <c:v>-51.0651777303349</c:v>
                </c:pt>
                <c:pt idx="461">
                  <c:v>-51.4386847594759</c:v>
                </c:pt>
                <c:pt idx="462">
                  <c:v>-51.8144589813647</c:v>
                </c:pt>
                <c:pt idx="463">
                  <c:v>-52.1924492105403</c:v>
                </c:pt>
                <c:pt idx="464">
                  <c:v>-52.5726023200666</c:v>
                </c:pt>
                <c:pt idx="465">
                  <c:v>-52.9548633367311</c:v>
                </c:pt>
                <c:pt idx="466">
                  <c:v>-53.3391755411845</c:v>
                </c:pt>
                <c:pt idx="467">
                  <c:v>-53.7254805731138</c:v>
                </c:pt>
                <c:pt idx="468">
                  <c:v>-54.1137185415122</c:v>
                </c:pt>
                <c:pt idx="469">
                  <c:v>-54.5038281400845</c:v>
                </c:pt>
                <c:pt idx="470">
                  <c:v>-54.8957467677679</c:v>
                </c:pt>
                <c:pt idx="471">
                  <c:v>-55.2894106543072</c:v>
                </c:pt>
                <c:pt idx="472">
                  <c:v>-55.6847549907495</c:v>
                </c:pt>
                <c:pt idx="473">
                  <c:v>-56.08171406466</c:v>
                </c:pt>
                <c:pt idx="474">
                  <c:v>-56.4802213997798</c:v>
                </c:pt>
                <c:pt idx="475">
                  <c:v>-56.8802098997701</c:v>
                </c:pt>
                <c:pt idx="476">
                  <c:v>-57.2816119956013</c:v>
                </c:pt>
                <c:pt idx="477">
                  <c:v>-57.6843597960669</c:v>
                </c:pt>
                <c:pt idx="478">
                  <c:v>-58.0883852408183</c:v>
                </c:pt>
                <c:pt idx="479">
                  <c:v>-58.4936202552463</c:v>
                </c:pt>
                <c:pt idx="480">
                  <c:v>-58.8999969064578</c:v>
                </c:pt>
                <c:pt idx="481">
                  <c:v>-59.3074475595438</c:v>
                </c:pt>
                <c:pt idx="482">
                  <c:v>-59.7159050332758</c:v>
                </c:pt>
                <c:pt idx="483">
                  <c:v>-60.1253027543357</c:v>
                </c:pt>
                <c:pt idx="484">
                  <c:v>-60.5355749091477</c:v>
                </c:pt>
                <c:pt idx="485">
                  <c:v>-60.9466565923798</c:v>
                </c:pt>
                <c:pt idx="486">
                  <c:v>-61.358483951171</c:v>
                </c:pt>
                <c:pt idx="487">
                  <c:v>-61.7709943241671</c:v>
                </c:pt>
                <c:pt idx="488">
                  <c:v>-62.1841263744684</c:v>
                </c:pt>
                <c:pt idx="489">
                  <c:v>-62.5978202156467</c:v>
                </c:pt>
                <c:pt idx="490">
                  <c:v>-63.0120175300354</c:v>
                </c:pt>
                <c:pt idx="491">
                  <c:v>-63.426661678576</c:v>
                </c:pt>
                <c:pt idx="492">
                  <c:v>-63.841697801577</c:v>
                </c:pt>
                <c:pt idx="493">
                  <c:v>-64.2570729098345</c:v>
                </c:pt>
                <c:pt idx="494">
                  <c:v>-64.6727359656581</c:v>
                </c:pt>
                <c:pt idx="495">
                  <c:v>-65.0886379534483</c:v>
                </c:pt>
                <c:pt idx="496">
                  <c:v>-65.5047319395789</c:v>
                </c:pt>
                <c:pt idx="497">
                  <c:v>-65.9209731214386</c:v>
                </c:pt>
                <c:pt idx="498">
                  <c:v>-66.3373188656026</c:v>
                </c:pt>
                <c:pt idx="499">
                  <c:v>-66.7537287351967</c:v>
                </c:pt>
                <c:pt idx="500">
                  <c:v>-67.1701645066286</c:v>
                </c:pt>
                <c:pt idx="501">
                  <c:v>-67.5865901759454</c:v>
                </c:pt>
                <c:pt idx="502">
                  <c:v>-68.0029719551715</c:v>
                </c:pt>
                <c:pt idx="503">
                  <c:v>-68.4192782590536</c:v>
                </c:pt>
                <c:pt idx="504">
                  <c:v>-68.8354796827184</c:v>
                </c:pt>
                <c:pt idx="505">
                  <c:v>-69.2515489707986</c:v>
                </c:pt>
                <c:pt idx="506">
                  <c:v>-69.6674609786443</c:v>
                </c:pt>
                <c:pt idx="507">
                  <c:v>-70.083192626268</c:v>
                </c:pt>
                <c:pt idx="508">
                  <c:v>-70.4987228457082</c:v>
                </c:pt>
                <c:pt idx="509">
                  <c:v>-70.9140325225123</c:v>
                </c:pt>
                <c:pt idx="510">
                  <c:v>-71.329104432051</c:v>
                </c:pt>
                <c:pt idx="511">
                  <c:v>-71.7439231713781</c:v>
                </c:pt>
                <c:pt idx="512">
                  <c:v>-72.1584750873411</c:v>
                </c:pt>
                <c:pt idx="513">
                  <c:v>-72.5727482016341</c:v>
                </c:pt>
                <c:pt idx="514">
                  <c:v>-72.9867321334625</c:v>
                </c:pt>
                <c:pt idx="515">
                  <c:v>-73.4004180204582</c:v>
                </c:pt>
                <c:pt idx="516">
                  <c:v>-73.813798438457</c:v>
                </c:pt>
                <c:pt idx="517">
                  <c:v>-74.2268673207073</c:v>
                </c:pt>
                <c:pt idx="518">
                  <c:v>-74.6396198770433</c:v>
                </c:pt>
                <c:pt idx="519">
                  <c:v>-75.0520525135088</c:v>
                </c:pt>
                <c:pt idx="520">
                  <c:v>-75.4641627528813</c:v>
                </c:pt>
                <c:pt idx="521">
                  <c:v>-75.8759491564907</c:v>
                </c:pt>
                <c:pt idx="522">
                  <c:v>-76.2874112476939</c:v>
                </c:pt>
                <c:pt idx="523">
                  <c:v>-76.6985494373116</c:v>
                </c:pt>
                <c:pt idx="524">
                  <c:v>-77.1093649512997</c:v>
                </c:pt>
                <c:pt idx="525">
                  <c:v>-77.5198597608782</c:v>
                </c:pt>
                <c:pt idx="526">
                  <c:v>-77.9300365153052</c:v>
                </c:pt>
                <c:pt idx="527">
                  <c:v>-78.3398984774459</c:v>
                </c:pt>
                <c:pt idx="528">
                  <c:v>-78.7494494622492</c:v>
                </c:pt>
                <c:pt idx="529">
                  <c:v>-79.1586937782125</c:v>
                </c:pt>
                <c:pt idx="530">
                  <c:v>-79.5676361718867</c:v>
                </c:pt>
                <c:pt idx="531">
                  <c:v>-79.9762817754457</c:v>
                </c:pt>
                <c:pt idx="532">
                  <c:v>-80.384636057316</c:v>
                </c:pt>
                <c:pt idx="533">
                  <c:v>-80.7927047758504</c:v>
                </c:pt>
                <c:pt idx="534">
                  <c:v>-81.2004939359966</c:v>
                </c:pt>
                <c:pt idx="535">
                  <c:v>-81.6080097489092</c:v>
                </c:pt>
                <c:pt idx="536">
                  <c:v>-82.0152585944261</c:v>
                </c:pt>
                <c:pt idx="537">
                  <c:v>-82.4222469863312</c:v>
                </c:pt>
                <c:pt idx="538">
                  <c:v>-82.8289815403022</c:v>
                </c:pt>
                <c:pt idx="539">
                  <c:v>-83.2354689444474</c:v>
                </c:pt>
                <c:pt idx="540">
                  <c:v>-83.6417159323179</c:v>
                </c:pt>
                <c:pt idx="541">
                  <c:v>-84.0477292582855</c:v>
                </c:pt>
              </c:numCache>
            </c:numRef>
          </c:yVal>
          <c:smooth val="1"/>
        </c:ser>
        <c:dLbls>
          <c:showLegendKey val="0"/>
          <c:showVal val="0"/>
          <c:showCatName val="0"/>
          <c:showSerName val="0"/>
          <c:showPercent val="0"/>
          <c:showBubbleSize val="0"/>
        </c:dLbls>
        <c:axId val="178953600"/>
        <c:axId val="178959872"/>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89.6673750000143</c:v>
                </c:pt>
                <c:pt idx="1">
                  <c:v>89.6596295140257</c:v>
                </c:pt>
                <c:pt idx="2">
                  <c:v>89.6517037801716</c:v>
                </c:pt>
                <c:pt idx="3">
                  <c:v>89.6435936119232</c:v>
                </c:pt>
                <c:pt idx="4">
                  <c:v>89.6352947260911</c:v>
                </c:pt>
                <c:pt idx="5">
                  <c:v>89.6268027406343</c:v>
                </c:pt>
                <c:pt idx="6">
                  <c:v>89.6181131724236</c:v>
                </c:pt>
                <c:pt idx="7">
                  <c:v>89.6092214349568</c:v>
                </c:pt>
                <c:pt idx="8">
                  <c:v>89.6001228360261</c:v>
                </c:pt>
                <c:pt idx="9">
                  <c:v>89.5908125753361</c:v>
                </c:pt>
                <c:pt idx="10">
                  <c:v>89.5812857420726</c:v>
                </c:pt>
                <c:pt idx="11">
                  <c:v>89.5715373124201</c:v>
                </c:pt>
                <c:pt idx="12">
                  <c:v>89.5615621470291</c:v>
                </c:pt>
                <c:pt idx="13">
                  <c:v>89.5513549884306</c:v>
                </c:pt>
                <c:pt idx="14">
                  <c:v>89.540910458398</c:v>
                </c:pt>
                <c:pt idx="15">
                  <c:v>89.530223055256</c:v>
                </c:pt>
                <c:pt idx="16">
                  <c:v>89.5192871511355</c:v>
                </c:pt>
                <c:pt idx="17">
                  <c:v>89.508096989173</c:v>
                </c:pt>
                <c:pt idx="18">
                  <c:v>89.4966466806555</c:v>
                </c:pt>
                <c:pt idx="19">
                  <c:v>89.4849302021095</c:v>
                </c:pt>
                <c:pt idx="20">
                  <c:v>89.4729413923328</c:v>
                </c:pt>
                <c:pt idx="21">
                  <c:v>89.4606739493701</c:v>
                </c:pt>
                <c:pt idx="22">
                  <c:v>89.4481214274309</c:v>
                </c:pt>
                <c:pt idx="23">
                  <c:v>89.4352772337492</c:v>
                </c:pt>
                <c:pt idx="24">
                  <c:v>89.4221346253857</c:v>
                </c:pt>
                <c:pt idx="25">
                  <c:v>89.4086867059707</c:v>
                </c:pt>
                <c:pt idx="26">
                  <c:v>89.3949264223888</c:v>
                </c:pt>
                <c:pt idx="27">
                  <c:v>89.3808465614044</c:v>
                </c:pt>
                <c:pt idx="28">
                  <c:v>89.3664397462282</c:v>
                </c:pt>
                <c:pt idx="29">
                  <c:v>89.3516984330247</c:v>
                </c:pt>
                <c:pt idx="30">
                  <c:v>89.336614907361</c:v>
                </c:pt>
                <c:pt idx="31">
                  <c:v>89.3211812805963</c:v>
                </c:pt>
                <c:pt idx="32">
                  <c:v>89.3053894862138</c:v>
                </c:pt>
                <c:pt idx="33">
                  <c:v>89.2892312760938</c:v>
                </c:pt>
                <c:pt idx="34">
                  <c:v>89.2726982167301</c:v>
                </c:pt>
                <c:pt idx="35">
                  <c:v>89.2557816853895</c:v>
                </c:pt>
                <c:pt idx="36">
                  <c:v>89.2384728662146</c:v>
                </c:pt>
                <c:pt idx="37">
                  <c:v>89.2207627462741</c:v>
                </c:pt>
                <c:pt idx="38">
                  <c:v>89.2026421115567</c:v>
                </c:pt>
                <c:pt idx="39">
                  <c:v>89.184101542915</c:v>
                </c:pt>
                <c:pt idx="40">
                  <c:v>89.1651314119583</c:v>
                </c:pt>
                <c:pt idx="41">
                  <c:v>89.1457218768967</c:v>
                </c:pt>
                <c:pt idx="42">
                  <c:v>89.1258628783387</c:v>
                </c:pt>
                <c:pt idx="43">
                  <c:v>89.1055441350448</c:v>
                </c:pt>
                <c:pt idx="44">
                  <c:v>89.0847551396402</c:v>
                </c:pt>
                <c:pt idx="45">
                  <c:v>89.0634851542883</c:v>
                </c:pt>
                <c:pt idx="46">
                  <c:v>89.0417232063302</c:v>
                </c:pt>
                <c:pt idx="47">
                  <c:v>89.0194580838914</c:v>
                </c:pt>
                <c:pt idx="48">
                  <c:v>88.9966783314628</c:v>
                </c:pt>
                <c:pt idx="49">
                  <c:v>88.9733722454579</c:v>
                </c:pt>
                <c:pt idx="50">
                  <c:v>88.9495278697526</c:v>
                </c:pt>
                <c:pt idx="51">
                  <c:v>88.9251329912125</c:v>
                </c:pt>
                <c:pt idx="52">
                  <c:v>88.9001751352136</c:v>
                </c:pt>
                <c:pt idx="53">
                  <c:v>88.8746415611628</c:v>
                </c:pt>
                <c:pt idx="54">
                  <c:v>88.8485192580258</c:v>
                </c:pt>
                <c:pt idx="55">
                  <c:v>88.8217949398693</c:v>
                </c:pt>
                <c:pt idx="56">
                  <c:v>88.7944550414262</c:v>
                </c:pt>
                <c:pt idx="57">
                  <c:v>88.7664857136927</c:v>
                </c:pt>
                <c:pt idx="58">
                  <c:v>88.7378728195671</c:v>
                </c:pt>
                <c:pt idx="59">
                  <c:v>88.7086019295407</c:v>
                </c:pt>
                <c:pt idx="60">
                  <c:v>88.6786583174532</c:v>
                </c:pt>
                <c:pt idx="61">
                  <c:v>88.648026956322</c:v>
                </c:pt>
                <c:pt idx="62">
                  <c:v>88.6166925142631</c:v>
                </c:pt>
                <c:pt idx="63">
                  <c:v>88.5846393505132</c:v>
                </c:pt>
                <c:pt idx="64">
                  <c:v>88.551851511572</c:v>
                </c:pt>
                <c:pt idx="65">
                  <c:v>88.5183127274785</c:v>
                </c:pt>
                <c:pt idx="66">
                  <c:v>88.484006408241</c:v>
                </c:pt>
                <c:pt idx="67">
                  <c:v>88.4489156404372</c:v>
                </c:pt>
                <c:pt idx="68">
                  <c:v>88.4130231840079</c:v>
                </c:pt>
                <c:pt idx="69">
                  <c:v>88.3763114692623</c:v>
                </c:pt>
                <c:pt idx="70">
                  <c:v>88.3387625941208</c:v>
                </c:pt>
                <c:pt idx="71">
                  <c:v>88.3003583216178</c:v>
                </c:pt>
                <c:pt idx="72">
                  <c:v>88.261080077693</c:v>
                </c:pt>
                <c:pt idx="73">
                  <c:v>88.2209089492958</c:v>
                </c:pt>
                <c:pt idx="74">
                  <c:v>88.179825682836</c:v>
                </c:pt>
                <c:pt idx="75">
                  <c:v>88.1378106830094</c:v>
                </c:pt>
                <c:pt idx="76">
                  <c:v>88.0948440120342</c:v>
                </c:pt>
                <c:pt idx="77">
                  <c:v>88.0509053893298</c:v>
                </c:pt>
                <c:pt idx="78">
                  <c:v>88.0059741916806</c:v>
                </c:pt>
                <c:pt idx="79">
                  <c:v>87.9600294539197</c:v>
                </c:pt>
                <c:pt idx="80">
                  <c:v>87.9130498701758</c:v>
                </c:pt>
                <c:pt idx="81">
                  <c:v>87.8650137957292</c:v>
                </c:pt>
                <c:pt idx="82">
                  <c:v>87.8158992495191</c:v>
                </c:pt>
                <c:pt idx="83">
                  <c:v>87.7656839173543</c:v>
                </c:pt>
                <c:pt idx="84">
                  <c:v>87.7143451558767</c:v>
                </c:pt>
                <c:pt idx="85">
                  <c:v>87.6618599973307</c:v>
                </c:pt>
                <c:pt idx="86">
                  <c:v>87.6082051551943</c:v>
                </c:pt>
                <c:pt idx="87">
                  <c:v>87.5533570307314</c:v>
                </c:pt>
                <c:pt idx="88">
                  <c:v>87.4972917205228</c:v>
                </c:pt>
                <c:pt idx="89">
                  <c:v>87.439985025041</c:v>
                </c:pt>
                <c:pt idx="90">
                  <c:v>87.3814124583337</c:v>
                </c:pt>
                <c:pt idx="91">
                  <c:v>87.3215492588803</c:v>
                </c:pt>
                <c:pt idx="92">
                  <c:v>87.2603704016954</c:v>
                </c:pt>
                <c:pt idx="93">
                  <c:v>87.1978506117432</c:v>
                </c:pt>
                <c:pt idx="94">
                  <c:v>87.1339643787426</c:v>
                </c:pt>
                <c:pt idx="95">
                  <c:v>87.0686859734311</c:v>
                </c:pt>
                <c:pt idx="96">
                  <c:v>87.001989465365</c:v>
                </c:pt>
                <c:pt idx="97">
                  <c:v>86.9338487423298</c:v>
                </c:pt>
                <c:pt idx="98">
                  <c:v>86.864237531438</c:v>
                </c:pt>
                <c:pt idx="99">
                  <c:v>86.7931294219876</c:v>
                </c:pt>
                <c:pt idx="100">
                  <c:v>86.7204978901574</c:v>
                </c:pt>
                <c:pt idx="101">
                  <c:v>86.6463163256101</c:v>
                </c:pt>
                <c:pt idx="102">
                  <c:v>86.5705580600752</c:v>
                </c:pt>
                <c:pt idx="103">
                  <c:v>86.4931963979787</c:v>
                </c:pt>
                <c:pt idx="104">
                  <c:v>86.4142046491811</c:v>
                </c:pt>
                <c:pt idx="105">
                  <c:v>86.3335561638861</c:v>
                </c:pt>
                <c:pt idx="106">
                  <c:v>86.2512243697648</c:v>
                </c:pt>
                <c:pt idx="107">
                  <c:v>86.1671828113465</c:v>
                </c:pt>
                <c:pt idx="108">
                  <c:v>86.0814051917064</c:v>
                </c:pt>
                <c:pt idx="109">
                  <c:v>85.9938654164761</c:v>
                </c:pt>
                <c:pt idx="110">
                  <c:v>85.9045376401875</c:v>
                </c:pt>
                <c:pt idx="111">
                  <c:v>85.8133963149498</c:v>
                </c:pt>
                <c:pt idx="112">
                  <c:v>85.7204162414373</c:v>
                </c:pt>
                <c:pt idx="113">
                  <c:v>85.6255726221547</c:v>
                </c:pt>
                <c:pt idx="114">
                  <c:v>85.5288411169177</c:v>
                </c:pt>
                <c:pt idx="115">
                  <c:v>85.4301979004698</c:v>
                </c:pt>
                <c:pt idx="116">
                  <c:v>85.3296197221299</c:v>
                </c:pt>
                <c:pt idx="117">
                  <c:v>85.2270839673288</c:v>
                </c:pt>
                <c:pt idx="118">
                  <c:v>85.1225687208751</c:v>
                </c:pt>
                <c:pt idx="119">
                  <c:v>85.0160528317442</c:v>
                </c:pt>
                <c:pt idx="120">
                  <c:v>84.9075159791528</c:v>
                </c:pt>
                <c:pt idx="121">
                  <c:v>84.7969387396416</c:v>
                </c:pt>
                <c:pt idx="122">
                  <c:v>84.6843026548443</c:v>
                </c:pt>
                <c:pt idx="123">
                  <c:v>84.5695902995735</c:v>
                </c:pt>
                <c:pt idx="124">
                  <c:v>84.4527853498087</c:v>
                </c:pt>
                <c:pt idx="125">
                  <c:v>84.3338726501192</c:v>
                </c:pt>
                <c:pt idx="126">
                  <c:v>84.2128382799969</c:v>
                </c:pt>
                <c:pt idx="127">
                  <c:v>84.0896696185268</c:v>
                </c:pt>
                <c:pt idx="128">
                  <c:v>83.9643554067559</c:v>
                </c:pt>
                <c:pt idx="129">
                  <c:v>83.8368858070679</c:v>
                </c:pt>
                <c:pt idx="130">
                  <c:v>83.7072524588156</c:v>
                </c:pt>
                <c:pt idx="131">
                  <c:v>83.5754485293938</c:v>
                </c:pt>
                <c:pt idx="132">
                  <c:v>83.4414687598878</c:v>
                </c:pt>
                <c:pt idx="133">
                  <c:v>83.3053095043696</c:v>
                </c:pt>
                <c:pt idx="134">
                  <c:v>83.1669687618681</c:v>
                </c:pt>
                <c:pt idx="135">
                  <c:v>83.0264461999818</c:v>
                </c:pt>
                <c:pt idx="136">
                  <c:v>82.8837431690684</c:v>
                </c:pt>
                <c:pt idx="137">
                  <c:v>82.7388627059046</c:v>
                </c:pt>
                <c:pt idx="138">
                  <c:v>82.5918095256819</c:v>
                </c:pt>
                <c:pt idx="139">
                  <c:v>82.4425900011858</c:v>
                </c:pt>
                <c:pt idx="140">
                  <c:v>82.2912121280047</c:v>
                </c:pt>
                <c:pt idx="141">
                  <c:v>82.137685474616</c:v>
                </c:pt>
                <c:pt idx="142">
                  <c:v>81.9820211162176</c:v>
                </c:pt>
                <c:pt idx="143">
                  <c:v>81.824231551223</c:v>
                </c:pt>
                <c:pt idx="144">
                  <c:v>81.6643305993778</c:v>
                </c:pt>
                <c:pt idx="145">
                  <c:v>81.5023332805481</c:v>
                </c:pt>
                <c:pt idx="146">
                  <c:v>81.3382556733158</c:v>
                </c:pt>
                <c:pt idx="147">
                  <c:v>81.1721147526415</c:v>
                </c:pt>
                <c:pt idx="148">
                  <c:v>81.0039282059934</c:v>
                </c:pt>
                <c:pt idx="149">
                  <c:v>80.8337142275065</c:v>
                </c:pt>
                <c:pt idx="150">
                  <c:v>80.6614912899187</c:v>
                </c:pt>
                <c:pt idx="151">
                  <c:v>80.4872778942423</c:v>
                </c:pt>
                <c:pt idx="152">
                  <c:v>80.3110922973566</c:v>
                </c:pt>
                <c:pt idx="153">
                  <c:v>80.1329522179531</c:v>
                </c:pt>
                <c:pt idx="154">
                  <c:v>79.9528745215371</c:v>
                </c:pt>
                <c:pt idx="155">
                  <c:v>79.7708748854551</c:v>
                </c:pt>
                <c:pt idx="156">
                  <c:v>79.5869674452231</c:v>
                </c:pt>
                <c:pt idx="157">
                  <c:v>79.4011644237113</c:v>
                </c:pt>
                <c:pt idx="158">
                  <c:v>79.2134757450494</c:v>
                </c:pt>
                <c:pt idx="159">
                  <c:v>79.0239086354043</c:v>
                </c:pt>
                <c:pt idx="160">
                  <c:v>78.8324672130706</c:v>
                </c:pt>
                <c:pt idx="161">
                  <c:v>78.6391520705793</c:v>
                </c:pt>
                <c:pt idx="162">
                  <c:v>78.4439598517904</c:v>
                </c:pt>
                <c:pt idx="163">
                  <c:v>78.2468828271423</c:v>
                </c:pt>
                <c:pt idx="164">
                  <c:v>78.0479084704348</c:v>
                </c:pt>
                <c:pt idx="165">
                  <c:v>77.8470190406662</c:v>
                </c:pt>
                <c:pt idx="166">
                  <c:v>77.6441911725536</c:v>
                </c:pt>
                <c:pt idx="167">
                  <c:v>77.4393954794254</c:v>
                </c:pt>
                <c:pt idx="168">
                  <c:v>77.2325961721879</c:v>
                </c:pt>
                <c:pt idx="169">
                  <c:v>77.0237506980097</c:v>
                </c:pt>
                <c:pt idx="170">
                  <c:v>76.8128094022804</c:v>
                </c:pt>
                <c:pt idx="171">
                  <c:v>76.599715217228</c:v>
                </c:pt>
                <c:pt idx="172">
                  <c:v>76.3844033803721</c:v>
                </c:pt>
                <c:pt idx="173">
                  <c:v>76.1668011857246</c:v>
                </c:pt>
                <c:pt idx="174">
                  <c:v>75.946827770326</c:v>
                </c:pt>
                <c:pt idx="175">
                  <c:v>75.7243939383496</c:v>
                </c:pt>
                <c:pt idx="176">
                  <c:v>75.4994020246066</c:v>
                </c:pt>
                <c:pt idx="177">
                  <c:v>75.2717457988488</c:v>
                </c:pt>
                <c:pt idx="178">
                  <c:v>75.0413104118132</c:v>
                </c:pt>
                <c:pt idx="179">
                  <c:v>74.8079723834879</c:v>
                </c:pt>
                <c:pt idx="180">
                  <c:v>74.5715996335883</c:v>
                </c:pt>
                <c:pt idx="181">
                  <c:v>74.3320515537791</c:v>
                </c:pt>
                <c:pt idx="182">
                  <c:v>74.0891791206966</c:v>
                </c:pt>
                <c:pt idx="183">
                  <c:v>73.8428250484019</c:v>
                </c:pt>
                <c:pt idx="184">
                  <c:v>73.592823978475</c:v>
                </c:pt>
                <c:pt idx="185">
                  <c:v>73.3390027055899</c:v>
                </c:pt>
                <c:pt idx="186">
                  <c:v>73.0811804360778</c:v>
                </c:pt>
                <c:pt idx="187">
                  <c:v>72.8191690767075</c:v>
                </c:pt>
                <c:pt idx="188">
                  <c:v>72.552773550672</c:v>
                </c:pt>
                <c:pt idx="189">
                  <c:v>72.2817921376073</c:v>
                </c:pt>
                <c:pt idx="190">
                  <c:v>72.0060168343475</c:v>
                </c:pt>
                <c:pt idx="191">
                  <c:v>71.7252337330537</c:v>
                </c:pt>
                <c:pt idx="192">
                  <c:v>71.4392234133585</c:v>
                </c:pt>
                <c:pt idx="193">
                  <c:v>71.1477613452156</c:v>
                </c:pt>
                <c:pt idx="194">
                  <c:v>70.8506182992349</c:v>
                </c:pt>
                <c:pt idx="195">
                  <c:v>70.547560761442</c:v>
                </c:pt>
                <c:pt idx="196">
                  <c:v>70.2383513495802</c:v>
                </c:pt>
                <c:pt idx="197">
                  <c:v>69.9227492282967</c:v>
                </c:pt>
                <c:pt idx="198">
                  <c:v>69.6005105208095</c:v>
                </c:pt>
                <c:pt idx="199">
                  <c:v>69.2713887149334</c:v>
                </c:pt>
                <c:pt idx="200">
                  <c:v>68.9351350616184</c:v>
                </c:pt>
                <c:pt idx="201">
                  <c:v>68.5914989644921</c:v>
                </c:pt>
                <c:pt idx="202">
                  <c:v>68.2402283591718</c:v>
                </c:pt>
                <c:pt idx="203">
                  <c:v>67.8810700814585</c:v>
                </c:pt>
                <c:pt idx="204">
                  <c:v>67.5137702238048</c:v>
                </c:pt>
                <c:pt idx="205">
                  <c:v>67.1380744797657</c:v>
                </c:pt>
                <c:pt idx="206">
                  <c:v>66.7537284764137</c:v>
                </c:pt>
                <c:pt idx="207">
                  <c:v>66.3604780949722</c:v>
                </c:pt>
                <c:pt idx="208">
                  <c:v>65.9580697801734</c:v>
                </c:pt>
                <c:pt idx="209">
                  <c:v>65.5462508390624</c:v>
                </c:pt>
                <c:pt idx="210">
                  <c:v>65.1247697301857</c:v>
                </c:pt>
                <c:pt idx="211">
                  <c:v>64.6933763442692</c:v>
                </c:pt>
                <c:pt idx="212">
                  <c:v>64.2518222776576</c:v>
                </c:pt>
                <c:pt idx="213">
                  <c:v>63.7998610999002</c:v>
                </c:pt>
                <c:pt idx="214">
                  <c:v>63.3372486169839</c:v>
                </c:pt>
                <c:pt idx="215">
                  <c:v>62.8637431317835</c:v>
                </c:pt>
                <c:pt idx="216">
                  <c:v>62.3791057033649</c:v>
                </c:pt>
                <c:pt idx="217">
                  <c:v>61.8831004067878</c:v>
                </c:pt>
                <c:pt idx="218">
                  <c:v>61.3754945950845</c:v>
                </c:pt>
                <c:pt idx="219">
                  <c:v>60.8560591650658</c:v>
                </c:pt>
                <c:pt idx="220">
                  <c:v>60.3245688285698</c:v>
                </c:pt>
                <c:pt idx="221">
                  <c:v>59.7808023907274</c:v>
                </c:pt>
                <c:pt idx="222">
                  <c:v>59.224543036739</c:v>
                </c:pt>
                <c:pt idx="223">
                  <c:v>58.65557862857</c:v>
                </c:pt>
                <c:pt idx="224">
                  <c:v>58.0737020128785</c:v>
                </c:pt>
                <c:pt idx="225">
                  <c:v>57.4787113413592</c:v>
                </c:pt>
                <c:pt idx="226">
                  <c:v>56.8704104045587</c:v>
                </c:pt>
                <c:pt idx="227">
                  <c:v>56.2486089800802</c:v>
                </c:pt>
                <c:pt idx="228">
                  <c:v>55.6131231959289</c:v>
                </c:pt>
                <c:pt idx="229">
                  <c:v>54.9637759095776</c:v>
                </c:pt>
                <c:pt idx="230">
                  <c:v>54.3003971031641</c:v>
                </c:pt>
                <c:pt idx="231">
                  <c:v>53.6228242950308</c:v>
                </c:pt>
                <c:pt idx="232">
                  <c:v>52.9309029676207</c:v>
                </c:pt>
                <c:pt idx="233">
                  <c:v>52.2244870115305</c:v>
                </c:pt>
                <c:pt idx="234">
                  <c:v>51.5034391853157</c:v>
                </c:pt>
                <c:pt idx="235">
                  <c:v>50.7676315904059</c:v>
                </c:pt>
                <c:pt idx="236">
                  <c:v>50.0169461602593</c:v>
                </c:pt>
                <c:pt idx="237">
                  <c:v>49.2512751626702</c:v>
                </c:pt>
                <c:pt idx="238">
                  <c:v>48.4705217138689</c:v>
                </c:pt>
                <c:pt idx="239">
                  <c:v>47.6746003028484</c:v>
                </c:pt>
                <c:pt idx="240">
                  <c:v>46.8634373240933</c:v>
                </c:pt>
                <c:pt idx="241">
                  <c:v>46.0369716166402</c:v>
                </c:pt>
                <c:pt idx="242">
                  <c:v>45.1951550071869</c:v>
                </c:pt>
                <c:pt idx="243">
                  <c:v>44.3379528547123</c:v>
                </c:pt>
                <c:pt idx="244">
                  <c:v>43.4653445938635</c:v>
                </c:pt>
                <c:pt idx="245">
                  <c:v>42.577324274151</c:v>
                </c:pt>
                <c:pt idx="246">
                  <c:v>41.6739010917936</c:v>
                </c:pt>
                <c:pt idx="247">
                  <c:v>40.7550999108821</c:v>
                </c:pt>
                <c:pt idx="248">
                  <c:v>39.820961770363</c:v>
                </c:pt>
                <c:pt idx="249">
                  <c:v>38.8715443732108</c:v>
                </c:pt>
                <c:pt idx="250">
                  <c:v>37.9069225540435</c:v>
                </c:pt>
                <c:pt idx="251">
                  <c:v>36.927188721356</c:v>
                </c:pt>
                <c:pt idx="252">
                  <c:v>35.9324532704907</c:v>
                </c:pt>
                <c:pt idx="253">
                  <c:v>34.9228449634465</c:v>
                </c:pt>
                <c:pt idx="254">
                  <c:v>33.898511271649</c:v>
                </c:pt>
                <c:pt idx="255">
                  <c:v>32.8596186778558</c:v>
                </c:pt>
                <c:pt idx="256">
                  <c:v>31.8063529334676</c:v>
                </c:pt>
                <c:pt idx="257">
                  <c:v>30.7389192676407</c:v>
                </c:pt>
                <c:pt idx="258">
                  <c:v>29.6575425447887</c:v>
                </c:pt>
                <c:pt idx="259">
                  <c:v>28.5624673672453</c:v>
                </c:pt>
                <c:pt idx="260">
                  <c:v>27.4539581201393</c:v>
                </c:pt>
                <c:pt idx="261">
                  <c:v>26.3322989557951</c:v>
                </c:pt>
                <c:pt idx="262">
                  <c:v>25.1977937153089</c:v>
                </c:pt>
                <c:pt idx="263">
                  <c:v>24.0507657852894</c:v>
                </c:pt>
                <c:pt idx="264">
                  <c:v>22.8915578881423</c:v>
                </c:pt>
                <c:pt idx="265">
                  <c:v>21.7205318046647</c:v>
                </c:pt>
                <c:pt idx="266">
                  <c:v>20.5380680281502</c:v>
                </c:pt>
                <c:pt idx="267">
                  <c:v>19.3445653496214</c:v>
                </c:pt>
                <c:pt idx="268">
                  <c:v>18.1404403742709</c:v>
                </c:pt>
                <c:pt idx="269">
                  <c:v>16.9261269696111</c:v>
                </c:pt>
                <c:pt idx="270">
                  <c:v>15.7020756463002</c:v>
                </c:pt>
                <c:pt idx="271">
                  <c:v>14.4687528730315</c:v>
                </c:pt>
                <c:pt idx="272">
                  <c:v>13.2266403273123</c:v>
                </c:pt>
                <c:pt idx="273">
                  <c:v>11.9762340843583</c:v>
                </c:pt>
                <c:pt idx="274">
                  <c:v>10.7180437467267</c:v>
                </c:pt>
                <c:pt idx="275">
                  <c:v>9.45259151768063</c:v>
                </c:pt>
                <c:pt idx="276">
                  <c:v>8.18041122161719</c:v>
                </c:pt>
                <c:pt idx="277">
                  <c:v>6.9020472752113</c:v>
                </c:pt>
                <c:pt idx="278">
                  <c:v>5.61805361321361</c:v>
                </c:pt>
                <c:pt idx="279">
                  <c:v>4.32899257310442</c:v>
                </c:pt>
                <c:pt idx="280">
                  <c:v>3.03543374302374</c:v>
                </c:pt>
                <c:pt idx="281">
                  <c:v>1.73795277761957</c:v>
                </c:pt>
                <c:pt idx="282">
                  <c:v>0.437130186588435</c:v>
                </c:pt>
                <c:pt idx="283">
                  <c:v>-0.866449899121073</c:v>
                </c:pt>
                <c:pt idx="284">
                  <c:v>-2.17220097841337</c:v>
                </c:pt>
                <c:pt idx="285">
                  <c:v>-3.47953544330123</c:v>
                </c:pt>
                <c:pt idx="286">
                  <c:v>-4.78786584911537</c:v>
                </c:pt>
                <c:pt idx="287">
                  <c:v>-6.09660618642204</c:v>
                </c:pt>
                <c:pt idx="288">
                  <c:v>-7.40517314940164</c:v>
                </c:pt>
                <c:pt idx="289">
                  <c:v>-8.71298739545337</c:v>
                </c:pt>
                <c:pt idx="290">
                  <c:v>-10.019474790824</c:v>
                </c:pt>
                <c:pt idx="291">
                  <c:v>-11.3240676371344</c:v>
                </c:pt>
                <c:pt idx="292">
                  <c:v>-12.6262058737609</c:v>
                </c:pt>
                <c:pt idx="293">
                  <c:v>-13.9253382511544</c:v>
                </c:pt>
                <c:pt idx="294">
                  <c:v>-15.2209234703202</c:v>
                </c:pt>
                <c:pt idx="295">
                  <c:v>-16.5124312838603</c:v>
                </c:pt>
                <c:pt idx="296">
                  <c:v>-17.7993435541861</c:v>
                </c:pt>
                <c:pt idx="297">
                  <c:v>-19.0811552647397</c:v>
                </c:pt>
                <c:pt idx="298">
                  <c:v>-20.3573754803304</c:v>
                </c:pt>
                <c:pt idx="299">
                  <c:v>-21.6275282529767</c:v>
                </c:pt>
                <c:pt idx="300">
                  <c:v>-22.8911534699848</c:v>
                </c:pt>
                <c:pt idx="301">
                  <c:v>-24.1478076413102</c:v>
                </c:pt>
                <c:pt idx="302">
                  <c:v>-25.3970646236614</c:v>
                </c:pt>
                <c:pt idx="303">
                  <c:v>-26.6385162791538</c:v>
                </c:pt>
                <c:pt idx="304">
                  <c:v>-27.8717730667771</c:v>
                </c:pt>
                <c:pt idx="305">
                  <c:v>-29.096464565329</c:v>
                </c:pt>
                <c:pt idx="306">
                  <c:v>-30.3122399269295</c:v>
                </c:pt>
                <c:pt idx="307">
                  <c:v>-31.5187682606526</c:v>
                </c:pt>
                <c:pt idx="308">
                  <c:v>-32.7157389462718</c:v>
                </c:pt>
                <c:pt idx="309">
                  <c:v>-33.90286187854</c:v>
                </c:pt>
                <c:pt idx="310">
                  <c:v>-35.0798676428441</c:v>
                </c:pt>
                <c:pt idx="311">
                  <c:v>-36.246507623516</c:v>
                </c:pt>
                <c:pt idx="312">
                  <c:v>-37.4025540464392</c:v>
                </c:pt>
                <c:pt idx="313">
                  <c:v>-38.5477999579809</c:v>
                </c:pt>
                <c:pt idx="314">
                  <c:v>-39.6820591426112</c:v>
                </c:pt>
                <c:pt idx="315">
                  <c:v>-40.8051659818846</c:v>
                </c:pt>
                <c:pt idx="316">
                  <c:v>-41.9169752577333</c:v>
                </c:pt>
                <c:pt idx="317">
                  <c:v>-43.0173619032485</c:v>
                </c:pt>
                <c:pt idx="318">
                  <c:v>-44.1062207043581</c:v>
                </c:pt>
                <c:pt idx="319">
                  <c:v>-45.1834659559267</c:v>
                </c:pt>
                <c:pt idx="320">
                  <c:v>-46.2490310759775</c:v>
                </c:pt>
                <c:pt idx="321">
                  <c:v>-47.3028681817728</c:v>
                </c:pt>
                <c:pt idx="322">
                  <c:v>-48.3449476315755</c:v>
                </c:pt>
                <c:pt idx="323">
                  <c:v>-49.3752575359085</c:v>
                </c:pt>
                <c:pt idx="324">
                  <c:v>-50.3938032421059</c:v>
                </c:pt>
                <c:pt idx="325">
                  <c:v>-51.4006067959013</c:v>
                </c:pt>
                <c:pt idx="326">
                  <c:v>-52.395706383719</c:v>
                </c:pt>
                <c:pt idx="327">
                  <c:v>-53.3791557592156</c:v>
                </c:pt>
                <c:pt idx="328">
                  <c:v>-54.3510236574994</c:v>
                </c:pt>
                <c:pt idx="329">
                  <c:v>-55.3113932002957</c:v>
                </c:pt>
                <c:pt idx="330">
                  <c:v>-56.2603612951569</c:v>
                </c:pt>
                <c:pt idx="331">
                  <c:v>-57.1980380316429</c:v>
                </c:pt>
                <c:pt idx="332">
                  <c:v>-58.1245460771951</c:v>
                </c:pt>
                <c:pt idx="333">
                  <c:v>-59.0400200752347</c:v>
                </c:pt>
                <c:pt idx="334">
                  <c:v>-59.9446060478001</c:v>
                </c:pt>
                <c:pt idx="335">
                  <c:v>-60.8384608048448</c:v>
                </c:pt>
                <c:pt idx="336">
                  <c:v>-61.7217513620901</c:v>
                </c:pt>
                <c:pt idx="337">
                  <c:v>-62.5946543691413</c:v>
                </c:pt>
                <c:pt idx="338">
                  <c:v>-63.4573555493503</c:v>
                </c:pt>
                <c:pt idx="339">
                  <c:v>-64.3100491527293</c:v>
                </c:pt>
                <c:pt idx="340">
                  <c:v>-65.1529374230129</c:v>
                </c:pt>
                <c:pt idx="341">
                  <c:v>-65.9862300797951</c:v>
                </c:pt>
                <c:pt idx="342">
                  <c:v>-66.8101438164807</c:v>
                </c:pt>
                <c:pt idx="343">
                  <c:v>-67.6249018146296</c:v>
                </c:pt>
                <c:pt idx="344">
                  <c:v>-68.4307332751175</c:v>
                </c:pt>
                <c:pt idx="345">
                  <c:v>-69.227872966386</c:v>
                </c:pt>
                <c:pt idx="346">
                  <c:v>-70.016560789917</c:v>
                </c:pt>
                <c:pt idx="347">
                  <c:v>-70.7970413629441</c:v>
                </c:pt>
                <c:pt idx="348">
                  <c:v>-71.5695636182973</c:v>
                </c:pt>
                <c:pt idx="349">
                  <c:v>-72.3343804211614</c:v>
                </c:pt>
                <c:pt idx="350">
                  <c:v>-73.0917482024472</c:v>
                </c:pt>
                <c:pt idx="351">
                  <c:v>-73.8419266083687</c:v>
                </c:pt>
                <c:pt idx="352">
                  <c:v>-74.5851781657551</c:v>
                </c:pt>
                <c:pt idx="353">
                  <c:v>-75.3217679625465</c:v>
                </c:pt>
                <c:pt idx="354">
                  <c:v>-76.0519633428658</c:v>
                </c:pt>
                <c:pt idx="355">
                  <c:v>-76.7760336159922</c:v>
                </c:pt>
                <c:pt idx="356">
                  <c:v>-77.494249778532</c:v>
                </c:pt>
                <c:pt idx="357">
                  <c:v>-78.2068842490185</c:v>
                </c:pt>
                <c:pt idx="358">
                  <c:v>-78.9142106141523</c:v>
                </c:pt>
                <c:pt idx="359">
                  <c:v>-79.6165033858546</c:v>
                </c:pt>
                <c:pt idx="360">
                  <c:v>-80.314037768282</c:v>
                </c:pt>
                <c:pt idx="361">
                  <c:v>-81.0070894339269</c:v>
                </c:pt>
                <c:pt idx="362">
                  <c:v>-81.6959343079168</c:v>
                </c:pt>
                <c:pt idx="363">
                  <c:v>-82.3808483596031</c:v>
                </c:pt>
                <c:pt idx="364">
                  <c:v>-83.0621074005266</c:v>
                </c:pt>
                <c:pt idx="365">
                  <c:v>-83.7399868878345</c:v>
                </c:pt>
                <c:pt idx="366">
                  <c:v>-84.4147617322262</c:v>
                </c:pt>
                <c:pt idx="367">
                  <c:v>-85.0867061094942</c:v>
                </c:pt>
                <c:pt idx="368">
                  <c:v>-85.7560932747366</c:v>
                </c:pt>
                <c:pt idx="369">
                  <c:v>-86.4231953783153</c:v>
                </c:pt>
                <c:pt idx="370">
                  <c:v>-87.088283282642</c:v>
                </c:pt>
                <c:pt idx="371">
                  <c:v>-87.7516263788817</c:v>
                </c:pt>
                <c:pt idx="372">
                  <c:v>-88.4134924026759</c:v>
                </c:pt>
                <c:pt idx="373">
                  <c:v>-89.0741472479965</c:v>
                </c:pt>
                <c:pt idx="374">
                  <c:v>-89.733854778263</c:v>
                </c:pt>
                <c:pt idx="375">
                  <c:v>-90.3928766338674</c:v>
                </c:pt>
                <c:pt idx="376">
                  <c:v>-91.0514720352784</c:v>
                </c:pt>
                <c:pt idx="377">
                  <c:v>-91.709897580918</c:v>
                </c:pt>
                <c:pt idx="378">
                  <c:v>-92.3684070390304</c:v>
                </c:pt>
                <c:pt idx="379">
                  <c:v>-93.0272511327969</c:v>
                </c:pt>
                <c:pt idx="380">
                  <c:v>-93.6866773179868</c:v>
                </c:pt>
                <c:pt idx="381">
                  <c:v>-94.3469295524674</c:v>
                </c:pt>
                <c:pt idx="382">
                  <c:v>-95.0082480569541</c:v>
                </c:pt>
                <c:pt idx="383">
                  <c:v>-95.670869066416</c:v>
                </c:pt>
                <c:pt idx="384">
                  <c:v>-96.3350245716197</c:v>
                </c:pt>
                <c:pt idx="385">
                  <c:v>-97.0009420503472</c:v>
                </c:pt>
                <c:pt idx="386">
                  <c:v>-97.6688441879018</c:v>
                </c:pt>
                <c:pt idx="387">
                  <c:v>-98.3389485865747</c:v>
                </c:pt>
                <c:pt idx="388">
                  <c:v>-99.0114674638451</c:v>
                </c:pt>
                <c:pt idx="389">
                  <c:v>-99.6866073391574</c:v>
                </c:pt>
                <c:pt idx="390">
                  <c:v>-100.364568709233</c:v>
                </c:pt>
                <c:pt idx="391">
                  <c:v>-101.045545711965</c:v>
                </c:pt>
                <c:pt idx="392">
                  <c:v>-101.729725779063</c:v>
                </c:pt>
                <c:pt idx="393">
                  <c:v>-102.417289277744</c:v>
                </c:pt>
                <c:pt idx="394">
                  <c:v>-103.108409141869</c:v>
                </c:pt>
                <c:pt idx="395">
                  <c:v>-103.803250493103</c:v>
                </c:pt>
                <c:pt idx="396">
                  <c:v>-104.501970252774</c:v>
                </c:pt>
                <c:pt idx="397">
                  <c:v>-105.204716745294</c:v>
                </c:pt>
                <c:pt idx="398">
                  <c:v>-105.911629294156</c:v>
                </c:pt>
                <c:pt idx="399">
                  <c:v>-106.622837811659</c:v>
                </c:pt>
                <c:pt idx="400">
                  <c:v>-107.338462383727</c:v>
                </c:pt>
                <c:pt idx="401">
                  <c:v>-108.058612851309</c:v>
                </c:pt>
                <c:pt idx="402">
                  <c:v>-108.783388390075</c:v>
                </c:pt>
                <c:pt idx="403">
                  <c:v>-109.512877090236</c:v>
                </c:pt>
                <c:pt idx="404">
                  <c:v>-110.247155538543</c:v>
                </c:pt>
                <c:pt idx="405">
                  <c:v>-110.986288404649</c:v>
                </c:pt>
                <c:pt idx="406">
                  <c:v>-111.730328034204</c:v>
                </c:pt>
                <c:pt idx="407">
                  <c:v>-112.47931405118</c:v>
                </c:pt>
                <c:pt idx="408">
                  <c:v>-113.233272972092</c:v>
                </c:pt>
                <c:pt idx="409">
                  <c:v>-113.992217834876</c:v>
                </c:pt>
                <c:pt idx="410">
                  <c:v>-114.756147845309</c:v>
                </c:pt>
                <c:pt idx="411">
                  <c:v>-115.525048043949</c:v>
                </c:pt>
                <c:pt idx="412">
                  <c:v>-116.298888996609</c:v>
                </c:pt>
                <c:pt idx="413">
                  <c:v>-117.077626511431</c:v>
                </c:pt>
                <c:pt idx="414">
                  <c:v>-117.86120138564</c:v>
                </c:pt>
                <c:pt idx="415">
                  <c:v>-118.649539184997</c:v>
                </c:pt>
                <c:pt idx="416">
                  <c:v>-119.442550058951</c:v>
                </c:pt>
                <c:pt idx="417">
                  <c:v>-120.240128594341</c:v>
                </c:pt>
                <c:pt idx="418">
                  <c:v>-121.042153710408</c:v>
                </c:pt>
                <c:pt idx="419">
                  <c:v>-121.848488597672</c:v>
                </c:pt>
                <c:pt idx="420">
                  <c:v>-122.658980703008</c:v>
                </c:pt>
                <c:pt idx="421">
                  <c:v>-123.473461763036</c:v>
                </c:pt>
                <c:pt idx="422">
                  <c:v>-124.291747887608</c:v>
                </c:pt>
                <c:pt idx="423">
                  <c:v>-125.113639694872</c:v>
                </c:pt>
                <c:pt idx="424">
                  <c:v>-125.938922499035</c:v>
                </c:pt>
                <c:pt idx="425">
                  <c:v>-126.767366551547</c:v>
                </c:pt>
                <c:pt idx="426">
                  <c:v>-127.598727336048</c:v>
                </c:pt>
                <c:pt idx="427">
                  <c:v>-128.432745916955</c:v>
                </c:pt>
                <c:pt idx="428">
                  <c:v>-129.269149341174</c:v>
                </c:pt>
                <c:pt idx="429">
                  <c:v>-130.107651091943</c:v>
                </c:pt>
                <c:pt idx="430">
                  <c:v>-130.947951593407</c:v>
                </c:pt>
                <c:pt idx="431">
                  <c:v>-131.789738764074</c:v>
                </c:pt>
                <c:pt idx="432">
                  <c:v>-132.63268861691</c:v>
                </c:pt>
                <c:pt idx="433">
                  <c:v>-133.476465903447</c:v>
                </c:pt>
                <c:pt idx="434">
                  <c:v>-134.320724798931</c:v>
                </c:pt>
                <c:pt idx="435">
                  <c:v>-135.165109625219</c:v>
                </c:pt>
                <c:pt idx="436">
                  <c:v>-136.009255607894</c:v>
                </c:pt>
                <c:pt idx="437">
                  <c:v>-136.852789663849</c:v>
                </c:pt>
                <c:pt idx="438">
                  <c:v>-137.695331215433</c:v>
                </c:pt>
                <c:pt idx="439">
                  <c:v>-138.536493027175</c:v>
                </c:pt>
                <c:pt idx="440">
                  <c:v>-139.375882061052</c:v>
                </c:pt>
                <c:pt idx="441">
                  <c:v>-140.213100346319</c:v>
                </c:pt>
                <c:pt idx="442">
                  <c:v>-141.04774585998</c:v>
                </c:pt>
                <c:pt idx="443">
                  <c:v>-141.879413414148</c:v>
                </c:pt>
                <c:pt idx="444">
                  <c:v>-142.707695546717</c:v>
                </c:pt>
                <c:pt idx="445">
                  <c:v>-143.532183412026</c:v>
                </c:pt>
                <c:pt idx="446">
                  <c:v>-144.352467668472</c:v>
                </c:pt>
                <c:pt idx="447">
                  <c:v>-145.168139360322</c:v>
                </c:pt>
                <c:pt idx="448">
                  <c:v>-145.978790791337</c:v>
                </c:pt>
                <c:pt idx="449">
                  <c:v>-146.784016388125</c:v>
                </c:pt>
                <c:pt idx="450">
                  <c:v>-147.583413551522</c:v>
                </c:pt>
                <c:pt idx="451">
                  <c:v>-148.376583494594</c:v>
                </c:pt>
                <c:pt idx="452">
                  <c:v>-149.163132066204</c:v>
                </c:pt>
                <c:pt idx="453">
                  <c:v>-149.942670559347</c:v>
                </c:pt>
                <c:pt idx="454">
                  <c:v>-150.714816503712</c:v>
                </c:pt>
                <c:pt idx="455">
                  <c:v>-151.47919444214</c:v>
                </c:pt>
                <c:pt idx="456">
                  <c:v>-152.235436690779</c:v>
                </c:pt>
                <c:pt idx="457">
                  <c:v>-152.983184082849</c:v>
                </c:pt>
                <c:pt idx="458">
                  <c:v>-153.722086695954</c:v>
                </c:pt>
                <c:pt idx="459">
                  <c:v>-154.451804562856</c:v>
                </c:pt>
                <c:pt idx="460">
                  <c:v>-155.172008365517</c:v>
                </c:pt>
                <c:pt idx="461">
                  <c:v>-155.882380112119</c:v>
                </c:pt>
                <c:pt idx="462">
                  <c:v>-156.582613796503</c:v>
                </c:pt>
                <c:pt idx="463">
                  <c:v>-157.272416039286</c:v>
                </c:pt>
                <c:pt idx="464">
                  <c:v>-157.951506709584</c:v>
                </c:pt>
                <c:pt idx="465">
                  <c:v>-158.619619525975</c:v>
                </c:pt>
                <c:pt idx="466">
                  <c:v>-159.276502634985</c:v>
                </c:pt>
                <c:pt idx="467">
                  <c:v>-159.921919165051</c:v>
                </c:pt>
                <c:pt idx="468">
                  <c:v>-160.555647753556</c:v>
                </c:pt>
                <c:pt idx="469">
                  <c:v>-161.177483044231</c:v>
                </c:pt>
                <c:pt idx="470">
                  <c:v>-161.787236151892</c:v>
                </c:pt>
                <c:pt idx="471">
                  <c:v>-162.384735091258</c:v>
                </c:pt>
                <c:pt idx="472">
                  <c:v>-162.969825166376</c:v>
                </c:pt>
                <c:pt idx="473">
                  <c:v>-163.54236931705</c:v>
                </c:pt>
                <c:pt idx="474">
                  <c:v>-164.102248418592</c:v>
                </c:pt>
                <c:pt idx="475">
                  <c:v>-164.649361531236</c:v>
                </c:pt>
                <c:pt idx="476">
                  <c:v>-165.183626095639</c:v>
                </c:pt>
                <c:pt idx="477">
                  <c:v>-165.704978071085</c:v>
                </c:pt>
                <c:pt idx="478">
                  <c:v>-166.213372013252</c:v>
                </c:pt>
                <c:pt idx="479">
                  <c:v>-166.70878108877</c:v>
                </c:pt>
                <c:pt idx="480">
                  <c:v>-167.191197024217</c:v>
                </c:pt>
                <c:pt idx="481">
                  <c:v>-167.6606299877</c:v>
                </c:pt>
                <c:pt idx="482">
                  <c:v>-168.117108401742</c:v>
                </c:pt>
                <c:pt idx="483">
                  <c:v>-168.560678686809</c:v>
                </c:pt>
                <c:pt idx="484">
                  <c:v>-168.991404935464</c:v>
                </c:pt>
                <c:pt idx="485">
                  <c:v>-169.409368517859</c:v>
                </c:pt>
                <c:pt idx="486">
                  <c:v>-169.814667619944</c:v>
                </c:pt>
                <c:pt idx="487">
                  <c:v>-170.207416716495</c:v>
                </c:pt>
                <c:pt idx="488">
                  <c:v>-170.587745981772</c:v>
                </c:pt>
                <c:pt idx="489">
                  <c:v>-170.955800641252</c:v>
                </c:pt>
                <c:pt idx="490">
                  <c:v>-171.311740268528</c:v>
                </c:pt>
                <c:pt idx="491">
                  <c:v>-171.655738032039</c:v>
                </c:pt>
                <c:pt idx="492">
                  <c:v>-171.987979896773</c:v>
                </c:pt>
                <c:pt idx="493">
                  <c:v>-172.308663786559</c:v>
                </c:pt>
                <c:pt idx="494">
                  <c:v>-172.617998712887</c:v>
                </c:pt>
                <c:pt idx="495">
                  <c:v>-172.916203876466</c:v>
                </c:pt>
                <c:pt idx="496">
                  <c:v>-173.203507747918</c:v>
                </c:pt>
                <c:pt idx="497">
                  <c:v>-173.480147134088</c:v>
                </c:pt>
                <c:pt idx="498">
                  <c:v>-173.746366236446</c:v>
                </c:pt>
                <c:pt idx="499">
                  <c:v>-174.002415707968</c:v>
                </c:pt>
                <c:pt idx="500">
                  <c:v>-174.248551714723</c:v>
                </c:pt>
                <c:pt idx="501">
                  <c:v>-174.485035008135</c:v>
                </c:pt>
                <c:pt idx="502">
                  <c:v>-174.712130013597</c:v>
                </c:pt>
                <c:pt idx="503">
                  <c:v>-174.9301039407</c:v>
                </c:pt>
                <c:pt idx="504">
                  <c:v>-175.139225919978</c:v>
                </c:pt>
                <c:pt idx="505">
                  <c:v>-175.339766170543</c:v>
                </c:pt>
                <c:pt idx="506">
                  <c:v>-175.531995202538</c:v>
                </c:pt>
                <c:pt idx="507">
                  <c:v>-175.716183057782</c:v>
                </c:pt>
                <c:pt idx="508">
                  <c:v>-175.892598591488</c:v>
                </c:pt>
                <c:pt idx="509">
                  <c:v>-176.061508797383</c:v>
                </c:pt>
                <c:pt idx="510">
                  <c:v>-176.223178178025</c:v>
                </c:pt>
                <c:pt idx="511">
                  <c:v>-176.377868161638</c:v>
                </c:pt>
                <c:pt idx="512">
                  <c:v>-176.525836566261</c:v>
                </c:pt>
                <c:pt idx="513">
                  <c:v>-176.667337111551</c:v>
                </c:pt>
                <c:pt idx="514">
                  <c:v>-176.802618978163</c:v>
                </c:pt>
                <c:pt idx="515">
                  <c:v>-176.9319264142</c:v>
                </c:pt>
                <c:pt idx="516">
                  <c:v>-177.0554983879</c:v>
                </c:pt>
                <c:pt idx="517">
                  <c:v>-177.173568285369</c:v>
                </c:pt>
                <c:pt idx="518">
                  <c:v>-177.286363651921</c:v>
                </c:pt>
                <c:pt idx="519">
                  <c:v>-177.394105975307</c:v>
                </c:pt>
                <c:pt idx="520">
                  <c:v>-177.497010508955</c:v>
                </c:pt>
                <c:pt idx="521">
                  <c:v>-177.595286133137</c:v>
                </c:pt>
                <c:pt idx="522">
                  <c:v>-177.689135251882</c:v>
                </c:pt>
                <c:pt idx="523">
                  <c:v>-177.778753723355</c:v>
                </c:pt>
                <c:pt idx="524">
                  <c:v>-177.864330821354</c:v>
                </c:pt>
                <c:pt idx="525">
                  <c:v>-177.946049225558</c:v>
                </c:pt>
                <c:pt idx="526">
                  <c:v>-178.024085038156</c:v>
                </c:pt>
                <c:pt idx="527">
                  <c:v>-178.098607824491</c:v>
                </c:pt>
                <c:pt idx="528">
                  <c:v>-178.16978067543</c:v>
                </c:pt>
                <c:pt idx="529">
                  <c:v>-178.237760289189</c:v>
                </c:pt>
                <c:pt idx="530">
                  <c:v>-178.302697070458</c:v>
                </c:pt>
                <c:pt idx="531">
                  <c:v>-178.364735244728</c:v>
                </c:pt>
                <c:pt idx="532">
                  <c:v>-178.424012985836</c:v>
                </c:pt>
                <c:pt idx="533">
                  <c:v>-178.480662554848</c:v>
                </c:pt>
                <c:pt idx="534">
                  <c:v>-178.534810448515</c:v>
                </c:pt>
                <c:pt idx="535">
                  <c:v>-178.586577555635</c:v>
                </c:pt>
                <c:pt idx="536">
                  <c:v>-178.636079319797</c:v>
                </c:pt>
                <c:pt idx="537">
                  <c:v>-178.683425907076</c:v>
                </c:pt>
                <c:pt idx="538">
                  <c:v>-178.728722377382</c:v>
                </c:pt>
                <c:pt idx="539">
                  <c:v>-178.772068858265</c:v>
                </c:pt>
                <c:pt idx="540">
                  <c:v>-178.813560720103</c:v>
                </c:pt>
                <c:pt idx="541">
                  <c:v>-178.853288751704</c:v>
                </c:pt>
              </c:numCache>
            </c:numRef>
          </c:yVal>
          <c:smooth val="1"/>
        </c:ser>
        <c:dLbls>
          <c:showLegendKey val="0"/>
          <c:showVal val="0"/>
          <c:showCatName val="0"/>
          <c:showSerName val="0"/>
          <c:showPercent val="0"/>
          <c:showBubbleSize val="0"/>
        </c:dLbls>
        <c:axId val="178971776"/>
        <c:axId val="178961792"/>
      </c:scatterChart>
      <c:valAx>
        <c:axId val="178953600"/>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59872"/>
        <c:crosses val="autoZero"/>
        <c:crossBetween val="midCat"/>
      </c:valAx>
      <c:valAx>
        <c:axId val="178959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53600"/>
        <c:crosses val="autoZero"/>
        <c:crossBetween val="midCat"/>
        <c:majorUnit val="20"/>
        <c:minorUnit val="10"/>
      </c:valAx>
      <c:valAx>
        <c:axId val="17897177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61792"/>
        <c:crosses val="autoZero"/>
        <c:crossBetween val="midCat"/>
      </c:valAx>
      <c:valAx>
        <c:axId val="178961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71776"/>
        <c:crosses val="max"/>
        <c:crossBetween val="midCat"/>
        <c:majorUnit val="90"/>
        <c:minorUnit val="45"/>
      </c:valAx>
    </c:plotArea>
    <c:plotVisOnly val="1"/>
    <c:dispBlanksAs val="gap"/>
    <c:showDLblsOverMax val="0"/>
    <c:extLst>
      <c:ext uri="{0b15fc19-7d7d-44ad-8c2d-2c3a37ce22c3}">
        <chartProps xmlns="https://web.wps.cn/et/2018/main" chartId="{d8376ad8-9511-453a-95bc-415188ceb85e}"/>
      </c:ext>
    </c:extLst>
  </c:chart>
  <c:txPr>
    <a:bodyPr/>
    <a:lstStyle/>
    <a:p>
      <a:pPr>
        <a:defRPr lang="pl-PL"/>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Eff_vs_IOUT!$AT$7:$AT$157</c:f>
              <c:numCache>
                <c:formatCode>General</c:formatCode>
                <c:ptCount val="151"/>
                <c:pt idx="0">
                  <c:v>0</c:v>
                </c:pt>
                <c:pt idx="1">
                  <c:v>49.5667680831775</c:v>
                </c:pt>
                <c:pt idx="2">
                  <c:v>63.7182433104541</c:v>
                </c:pt>
                <c:pt idx="3">
                  <c:v>70.2177753497464</c:v>
                </c:pt>
                <c:pt idx="4">
                  <c:v>73.8210853140805</c:v>
                </c:pt>
                <c:pt idx="5">
                  <c:v>77.6040434474592</c:v>
                </c:pt>
                <c:pt idx="6">
                  <c:v>79.4308690691935</c:v>
                </c:pt>
                <c:pt idx="7">
                  <c:v>80.7698824929552</c:v>
                </c:pt>
                <c:pt idx="8">
                  <c:v>81.7867252372144</c:v>
                </c:pt>
                <c:pt idx="9">
                  <c:v>82.5796900122204</c:v>
                </c:pt>
                <c:pt idx="10">
                  <c:v>83.2107918146716</c:v>
                </c:pt>
                <c:pt idx="11">
                  <c:v>83.7210906834813</c:v>
                </c:pt>
                <c:pt idx="12">
                  <c:v>84.1388530934995</c:v>
                </c:pt>
                <c:pt idx="13">
                  <c:v>84.4841746245643</c:v>
                </c:pt>
                <c:pt idx="14">
                  <c:v>84.7717333568283</c:v>
                </c:pt>
                <c:pt idx="15">
                  <c:v>85.0125001721192</c:v>
                </c:pt>
                <c:pt idx="16">
                  <c:v>85.2148396066742</c:v>
                </c:pt>
                <c:pt idx="17">
                  <c:v>85.3852404174199</c:v>
                </c:pt>
                <c:pt idx="18">
                  <c:v>85.5288134573491</c:v>
                </c:pt>
                <c:pt idx="19">
                  <c:v>85.6496389674716</c:v>
                </c:pt>
                <c:pt idx="20">
                  <c:v>85.7510138703906</c:v>
                </c:pt>
                <c:pt idx="21">
                  <c:v>85.8356311194102</c:v>
                </c:pt>
                <c:pt idx="22">
                  <c:v>85.905711928742</c:v>
                </c:pt>
                <c:pt idx="23">
                  <c:v>85.9631047213018</c:v>
                </c:pt>
                <c:pt idx="24">
                  <c:v>86.0093601740081</c:v>
                </c:pt>
                <c:pt idx="25">
                  <c:v>86.0457888362531</c:v>
                </c:pt>
                <c:pt idx="26">
                  <c:v>86.0735058669109</c:v>
                </c:pt>
                <c:pt idx="27">
                  <c:v>86.0934661290042</c:v>
                </c:pt>
                <c:pt idx="28">
                  <c:v>86.1064919825793</c:v>
                </c:pt>
                <c:pt idx="29">
                  <c:v>86.1132954887973</c:v>
                </c:pt>
                <c:pt idx="30">
                  <c:v>86.1144962938627</c:v>
                </c:pt>
                <c:pt idx="31">
                  <c:v>86.1106361426357</c:v>
                </c:pt>
                <c:pt idx="32">
                  <c:v>86.1021907403754</c:v>
                </c:pt>
                <c:pt idx="33">
                  <c:v>86.0895795112025</c:v>
                </c:pt>
                <c:pt idx="34">
                  <c:v>86.0731736758949</c:v>
                </c:pt>
                <c:pt idx="35">
                  <c:v>86.0533029772928</c:v>
                </c:pt>
                <c:pt idx="36">
                  <c:v>86.0302613102951</c:v>
                </c:pt>
                <c:pt idx="37">
                  <c:v>86.0043114590992</c:v>
                </c:pt>
                <c:pt idx="38">
                  <c:v>85.9756891025907</c:v>
                </c:pt>
                <c:pt idx="39">
                  <c:v>85.9446062164783</c:v>
                </c:pt>
                <c:pt idx="40">
                  <c:v>85.9112539755778</c:v>
                </c:pt>
                <c:pt idx="41">
                  <c:v>85.8758052398757</c:v>
                </c:pt>
                <c:pt idx="42">
                  <c:v>85.8384166923874</c:v>
                </c:pt>
                <c:pt idx="43">
                  <c:v>85.7992306844089</c:v>
                </c:pt>
                <c:pt idx="44">
                  <c:v>85.7583768338449</c:v>
                </c:pt>
                <c:pt idx="45">
                  <c:v>85.7159734143216</c:v>
                </c:pt>
                <c:pt idx="46">
                  <c:v>85.6721285663501</c:v>
                </c:pt>
                <c:pt idx="47">
                  <c:v>85.6269413565811</c:v>
                </c:pt>
                <c:pt idx="48">
                  <c:v>85.5805027069239</c:v>
                </c:pt>
                <c:pt idx="49">
                  <c:v>85.5328962118068</c:v>
                </c:pt>
                <c:pt idx="50">
                  <c:v>85.4841988589822</c:v>
                </c:pt>
                <c:pt idx="51">
                  <c:v>85.4344816669014</c:v>
                </c:pt>
                <c:pt idx="52">
                  <c:v>85.3838102497111</c:v>
                </c:pt>
                <c:pt idx="53">
                  <c:v>85.332245319283</c:v>
                </c:pt>
                <c:pt idx="54">
                  <c:v>85.2798431323138</c:v>
                </c:pt>
                <c:pt idx="55">
                  <c:v>85.2266558893823</c:v>
                </c:pt>
                <c:pt idx="56">
                  <c:v>85.1727320918793</c:v>
                </c:pt>
                <c:pt idx="57">
                  <c:v>85.1181168619104</c:v>
                </c:pt>
                <c:pt idx="58">
                  <c:v>85.0628522295756</c:v>
                </c:pt>
                <c:pt idx="59">
                  <c:v>85.0069773914424</c:v>
                </c:pt>
                <c:pt idx="60">
                  <c:v>84.9505289435275</c:v>
                </c:pt>
                <c:pt idx="61">
                  <c:v>84.8935410916713</c:v>
                </c:pt>
                <c:pt idx="62">
                  <c:v>84.836045841826</c:v>
                </c:pt>
                <c:pt idx="63">
                  <c:v>84.7780731724563</c:v>
                </c:pt>
                <c:pt idx="64">
                  <c:v>84.7196511909881</c:v>
                </c:pt>
                <c:pt idx="65">
                  <c:v>84.6608062759969</c:v>
                </c:pt>
                <c:pt idx="66">
                  <c:v>84.6015632066335</c:v>
                </c:pt>
                <c:pt idx="67">
                  <c:v>84.5419452806003</c:v>
                </c:pt>
                <c:pt idx="68">
                  <c:v>84.4819744218453</c:v>
                </c:pt>
                <c:pt idx="69">
                  <c:v>84.4216712790029</c:v>
                </c:pt>
                <c:pt idx="70">
                  <c:v>84.3610553154959</c:v>
                </c:pt>
                <c:pt idx="71">
                  <c:v>84.3001448921123</c:v>
                </c:pt>
                <c:pt idx="72">
                  <c:v>84.2389573427792</c:v>
                </c:pt>
                <c:pt idx="73">
                  <c:v>84.177509044178</c:v>
                </c:pt>
                <c:pt idx="74">
                  <c:v>84.1158154797796</c:v>
                </c:pt>
                <c:pt idx="75">
                  <c:v>84.0538912988117</c:v>
                </c:pt>
                <c:pt idx="76">
                  <c:v>83.9917503706214</c:v>
                </c:pt>
                <c:pt idx="77">
                  <c:v>83.9294058348469</c:v>
                </c:pt>
                <c:pt idx="78">
                  <c:v>83.8668701477713</c:v>
                </c:pt>
                <c:pt idx="79">
                  <c:v>83.8041551251909</c:v>
                </c:pt>
                <c:pt idx="80">
                  <c:v>83.7412719821025</c:v>
                </c:pt>
                <c:pt idx="81">
                  <c:v>83.6782313694806</c:v>
                </c:pt>
                <c:pt idx="82">
                  <c:v>83.6150434083894</c:v>
                </c:pt>
                <c:pt idx="83">
                  <c:v>83.5517177216544</c:v>
                </c:pt>
                <c:pt idx="84">
                  <c:v>83.4882634632931</c:v>
                </c:pt>
                <c:pt idx="85">
                  <c:v>83.4246893458881</c:v>
                </c:pt>
                <c:pt idx="86">
                  <c:v>83.3610036660688</c:v>
                </c:pt>
                <c:pt idx="87">
                  <c:v>83.2972143282522</c:v>
                </c:pt>
                <c:pt idx="88">
                  <c:v>83.2333288667795</c:v>
                </c:pt>
                <c:pt idx="89">
                  <c:v>83.1693544665746</c:v>
                </c:pt>
                <c:pt idx="90">
                  <c:v>83.1052979824371</c:v>
                </c:pt>
                <c:pt idx="91">
                  <c:v>83.0411659570752</c:v>
                </c:pt>
                <c:pt idx="92">
                  <c:v>82.976964637972</c:v>
                </c:pt>
                <c:pt idx="93">
                  <c:v>82.912699993174</c:v>
                </c:pt>
                <c:pt idx="94">
                  <c:v>82.8483777260797</c:v>
                </c:pt>
                <c:pt idx="95">
                  <c:v>82.7840032893026</c:v>
                </c:pt>
                <c:pt idx="96">
                  <c:v>82.7195818976744</c:v>
                </c:pt>
                <c:pt idx="97">
                  <c:v>82.6551185404508</c:v>
                </c:pt>
                <c:pt idx="98">
                  <c:v>82.5906179927764</c:v>
                </c:pt>
                <c:pt idx="99">
                  <c:v>82.5260848264598</c:v>
                </c:pt>
                <c:pt idx="100">
                  <c:v>82.4615234201071</c:v>
                </c:pt>
                <c:pt idx="101">
                  <c:v>82.396937968659</c:v>
                </c:pt>
                <c:pt idx="102">
                  <c:v>82.3323324923704</c:v>
                </c:pt>
                <c:pt idx="103">
                  <c:v>82.2677108452713</c:v>
                </c:pt>
                <c:pt idx="104">
                  <c:v>82.2030767231427</c:v>
                </c:pt>
                <c:pt idx="105">
                  <c:v>82.138433671041</c:v>
                </c:pt>
                <c:pt idx="106">
                  <c:v>82.0737850903986</c:v>
                </c:pt>
                <c:pt idx="107">
                  <c:v>82.0091342457297</c:v>
                </c:pt>
                <c:pt idx="108">
                  <c:v>81.9444842709665</c:v>
                </c:pt>
                <c:pt idx="109">
                  <c:v>81.8798381754482</c:v>
                </c:pt>
                <c:pt idx="110">
                  <c:v>81.8151988495861</c:v>
                </c:pt>
                <c:pt idx="111">
                  <c:v>81.7505690702249</c:v>
                </c:pt>
                <c:pt idx="112">
                  <c:v>81.6859515057176</c:v>
                </c:pt>
                <c:pt idx="113">
                  <c:v>81.621348720734</c:v>
                </c:pt>
                <c:pt idx="114">
                  <c:v>81.5567631808167</c:v>
                </c:pt>
                <c:pt idx="115">
                  <c:v>81.4921972567016</c:v>
                </c:pt>
                <c:pt idx="116">
                  <c:v>81.4276532284158</c:v>
                </c:pt>
                <c:pt idx="117">
                  <c:v>81.363133289167</c:v>
                </c:pt>
                <c:pt idx="118">
                  <c:v>81.2986395490362</c:v>
                </c:pt>
                <c:pt idx="119">
                  <c:v>81.2341740384854</c:v>
                </c:pt>
                <c:pt idx="120">
                  <c:v>81.1697387116905</c:v>
                </c:pt>
                <c:pt idx="121">
                  <c:v>81.1053354497107</c:v>
                </c:pt>
                <c:pt idx="122">
                  <c:v>81.0409660635022</c:v>
                </c:pt>
                <c:pt idx="123">
                  <c:v>80.9766322967856</c:v>
                </c:pt>
                <c:pt idx="124">
                  <c:v>80.9123358287762</c:v>
                </c:pt>
                <c:pt idx="125">
                  <c:v>80.848078276783</c:v>
                </c:pt>
                <c:pt idx="126">
                  <c:v>80.7838611986847</c:v>
                </c:pt>
                <c:pt idx="127">
                  <c:v>80.71968609529</c:v>
                </c:pt>
                <c:pt idx="128">
                  <c:v>80.6555544125871</c:v>
                </c:pt>
                <c:pt idx="129">
                  <c:v>80.5914675438892</c:v>
                </c:pt>
                <c:pt idx="130">
                  <c:v>80.5274268318817</c:v>
                </c:pt>
                <c:pt idx="131">
                  <c:v>80.4634335705756</c:v>
                </c:pt>
                <c:pt idx="132">
                  <c:v>80.3994890071733</c:v>
                </c:pt>
                <c:pt idx="133">
                  <c:v>80.3355943438496</c:v>
                </c:pt>
                <c:pt idx="134">
                  <c:v>80.2717507394541</c:v>
                </c:pt>
                <c:pt idx="135">
                  <c:v>80.2079593111376</c:v>
                </c:pt>
                <c:pt idx="136">
                  <c:v>80.1442211359077</c:v>
                </c:pt>
                <c:pt idx="137">
                  <c:v>80.0805372521159</c:v>
                </c:pt>
                <c:pt idx="138">
                  <c:v>80.0169086608804</c:v>
                </c:pt>
                <c:pt idx="139">
                  <c:v>79.9533363274484</c:v>
                </c:pt>
                <c:pt idx="140">
                  <c:v>79.8898211824991</c:v>
                </c:pt>
                <c:pt idx="141">
                  <c:v>79.8263641233923</c:v>
                </c:pt>
                <c:pt idx="142">
                  <c:v>79.7629660153638</c:v>
                </c:pt>
                <c:pt idx="143">
                  <c:v>79.6996276926715</c:v>
                </c:pt>
                <c:pt idx="144">
                  <c:v>79.636349959693</c:v>
                </c:pt>
                <c:pt idx="145">
                  <c:v>79.5731335919786</c:v>
                </c:pt>
                <c:pt idx="146">
                  <c:v>79.5099793372609</c:v>
                </c:pt>
                <c:pt idx="147">
                  <c:v>79.4468879164233</c:v>
                </c:pt>
                <c:pt idx="148">
                  <c:v>79.383860024429</c:v>
                </c:pt>
                <c:pt idx="149">
                  <c:v>79.3208963312133</c:v>
                </c:pt>
                <c:pt idx="150">
                  <c:v>79.2579974825398</c:v>
                </c:pt>
              </c:numCache>
            </c:numRef>
          </c:yVal>
          <c:smooth val="0"/>
        </c:ser>
        <c:dLbls>
          <c:showLegendKey val="0"/>
          <c:showVal val="0"/>
          <c:showCatName val="0"/>
          <c:showSerName val="0"/>
          <c:showPercent val="0"/>
          <c:showBubbleSize val="0"/>
        </c:dLbls>
        <c:axId val="178605056"/>
        <c:axId val="178615040"/>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Eff_vs_IOUT!$AI$7:$AI$157</c:f>
              <c:numCache>
                <c:formatCode>General</c:formatCode>
                <c:ptCount val="151"/>
                <c:pt idx="0">
                  <c:v>0</c:v>
                </c:pt>
                <c:pt idx="1">
                  <c:v>0.0057086855717466</c:v>
                </c:pt>
                <c:pt idx="2">
                  <c:v>0.0124459314702256</c:v>
                </c:pt>
                <c:pt idx="3">
                  <c:v>0.0201644751176161</c:v>
                </c:pt>
                <c:pt idx="4">
                  <c:v>0.0288813920025693</c:v>
                </c:pt>
                <c:pt idx="5">
                  <c:v>0.0278681914873554</c:v>
                </c:pt>
                <c:pt idx="6">
                  <c:v>0.0337604238891349</c:v>
                </c:pt>
                <c:pt idx="7">
                  <c:v>0.039819322957581</c:v>
                </c:pt>
                <c:pt idx="8">
                  <c:v>0.0460448886926938</c:v>
                </c:pt>
                <c:pt idx="9">
                  <c:v>0.0524371210944733</c:v>
                </c:pt>
                <c:pt idx="10">
                  <c:v>0.0589960201629194</c:v>
                </c:pt>
                <c:pt idx="11">
                  <c:v>0.0657215858980322</c:v>
                </c:pt>
                <c:pt idx="12">
                  <c:v>0.0726138182998117</c:v>
                </c:pt>
                <c:pt idx="13">
                  <c:v>0.0796727173682578</c:v>
                </c:pt>
                <c:pt idx="14">
                  <c:v>0.0868982831033706</c:v>
                </c:pt>
                <c:pt idx="15">
                  <c:v>0.0942905155051501</c:v>
                </c:pt>
                <c:pt idx="16">
                  <c:v>0.101849414573596</c:v>
                </c:pt>
                <c:pt idx="17">
                  <c:v>0.109574980308709</c:v>
                </c:pt>
                <c:pt idx="18">
                  <c:v>0.117467212710489</c:v>
                </c:pt>
                <c:pt idx="19">
                  <c:v>0.125526111778935</c:v>
                </c:pt>
                <c:pt idx="20">
                  <c:v>0.133751677514047</c:v>
                </c:pt>
                <c:pt idx="21">
                  <c:v>0.142143909915827</c:v>
                </c:pt>
                <c:pt idx="22">
                  <c:v>0.150702808984273</c:v>
                </c:pt>
                <c:pt idx="23">
                  <c:v>0.159428374719386</c:v>
                </c:pt>
                <c:pt idx="24">
                  <c:v>0.168320607121165</c:v>
                </c:pt>
                <c:pt idx="25">
                  <c:v>0.177379506189611</c:v>
                </c:pt>
                <c:pt idx="26">
                  <c:v>0.186605071924724</c:v>
                </c:pt>
                <c:pt idx="27">
                  <c:v>0.195997304326504</c:v>
                </c:pt>
                <c:pt idx="28">
                  <c:v>0.20555620339495</c:v>
                </c:pt>
                <c:pt idx="29">
                  <c:v>0.215281769130063</c:v>
                </c:pt>
                <c:pt idx="30">
                  <c:v>0.225174001531842</c:v>
                </c:pt>
                <c:pt idx="31">
                  <c:v>0.235232900600288</c:v>
                </c:pt>
                <c:pt idx="32">
                  <c:v>0.245458466335401</c:v>
                </c:pt>
                <c:pt idx="33">
                  <c:v>0.255850698737181</c:v>
                </c:pt>
                <c:pt idx="34">
                  <c:v>0.266409597805627</c:v>
                </c:pt>
                <c:pt idx="35">
                  <c:v>0.27713516354074</c:v>
                </c:pt>
                <c:pt idx="36">
                  <c:v>0.288027395942519</c:v>
                </c:pt>
                <c:pt idx="37">
                  <c:v>0.299086295010965</c:v>
                </c:pt>
                <c:pt idx="38">
                  <c:v>0.310311860746078</c:v>
                </c:pt>
                <c:pt idx="39">
                  <c:v>0.321704093147857</c:v>
                </c:pt>
                <c:pt idx="40">
                  <c:v>0.333262992216304</c:v>
                </c:pt>
                <c:pt idx="41">
                  <c:v>0.344988557951416</c:v>
                </c:pt>
                <c:pt idx="42">
                  <c:v>0.356880790353196</c:v>
                </c:pt>
                <c:pt idx="43">
                  <c:v>0.368939689421642</c:v>
                </c:pt>
                <c:pt idx="44">
                  <c:v>0.381165255156755</c:v>
                </c:pt>
                <c:pt idx="45">
                  <c:v>0.393557487558534</c:v>
                </c:pt>
                <c:pt idx="46">
                  <c:v>0.40611638662698</c:v>
                </c:pt>
                <c:pt idx="47">
                  <c:v>0.418841952362093</c:v>
                </c:pt>
                <c:pt idx="48">
                  <c:v>0.431734184763873</c:v>
                </c:pt>
                <c:pt idx="49">
                  <c:v>0.444793083832319</c:v>
                </c:pt>
                <c:pt idx="50">
                  <c:v>0.458018649567432</c:v>
                </c:pt>
                <c:pt idx="51">
                  <c:v>0.471410881969211</c:v>
                </c:pt>
                <c:pt idx="52">
                  <c:v>0.484969781037657</c:v>
                </c:pt>
                <c:pt idx="53">
                  <c:v>0.49869534677277</c:v>
                </c:pt>
                <c:pt idx="54">
                  <c:v>0.51258757917455</c:v>
                </c:pt>
                <c:pt idx="55">
                  <c:v>0.526646478242996</c:v>
                </c:pt>
                <c:pt idx="56">
                  <c:v>0.540872043978108</c:v>
                </c:pt>
                <c:pt idx="57">
                  <c:v>0.555264276379888</c:v>
                </c:pt>
                <c:pt idx="58">
                  <c:v>0.569823175448334</c:v>
                </c:pt>
                <c:pt idx="59">
                  <c:v>0.584548741183447</c:v>
                </c:pt>
                <c:pt idx="60">
                  <c:v>0.599440973585226</c:v>
                </c:pt>
                <c:pt idx="61">
                  <c:v>0.614499872653672</c:v>
                </c:pt>
                <c:pt idx="62">
                  <c:v>0.629725438388785</c:v>
                </c:pt>
                <c:pt idx="63">
                  <c:v>0.645117670790565</c:v>
                </c:pt>
                <c:pt idx="64">
                  <c:v>0.660676569859011</c:v>
                </c:pt>
                <c:pt idx="65">
                  <c:v>0.676402135594124</c:v>
                </c:pt>
                <c:pt idx="66">
                  <c:v>0.692294367995903</c:v>
                </c:pt>
                <c:pt idx="67">
                  <c:v>0.708353267064349</c:v>
                </c:pt>
                <c:pt idx="68">
                  <c:v>0.724578832799462</c:v>
                </c:pt>
                <c:pt idx="69">
                  <c:v>0.740971065201242</c:v>
                </c:pt>
                <c:pt idx="70">
                  <c:v>0.757529964269688</c:v>
                </c:pt>
                <c:pt idx="71">
                  <c:v>0.774255530004801</c:v>
                </c:pt>
                <c:pt idx="72">
                  <c:v>0.79114776240658</c:v>
                </c:pt>
                <c:pt idx="73">
                  <c:v>0.808206661475026</c:v>
                </c:pt>
                <c:pt idx="74">
                  <c:v>0.825432227210139</c:v>
                </c:pt>
                <c:pt idx="75">
                  <c:v>0.842824459611918</c:v>
                </c:pt>
                <c:pt idx="76">
                  <c:v>0.860383358680364</c:v>
                </c:pt>
                <c:pt idx="77">
                  <c:v>0.878108924415477</c:v>
                </c:pt>
                <c:pt idx="78">
                  <c:v>0.896001156817257</c:v>
                </c:pt>
                <c:pt idx="79">
                  <c:v>0.914060055885703</c:v>
                </c:pt>
                <c:pt idx="80">
                  <c:v>0.932285621620816</c:v>
                </c:pt>
                <c:pt idx="81">
                  <c:v>0.950677854022595</c:v>
                </c:pt>
                <c:pt idx="82">
                  <c:v>0.969236753091041</c:v>
                </c:pt>
                <c:pt idx="83">
                  <c:v>0.987962318826154</c:v>
                </c:pt>
                <c:pt idx="84">
                  <c:v>1.00685455122793</c:v>
                </c:pt>
                <c:pt idx="85">
                  <c:v>1.02591345029638</c:v>
                </c:pt>
                <c:pt idx="86">
                  <c:v>1.04513901603149</c:v>
                </c:pt>
                <c:pt idx="87">
                  <c:v>1.06453124843327</c:v>
                </c:pt>
                <c:pt idx="88">
                  <c:v>1.08409014750172</c:v>
                </c:pt>
                <c:pt idx="89">
                  <c:v>1.10381571323683</c:v>
                </c:pt>
                <c:pt idx="90">
                  <c:v>1.12370794563861</c:v>
                </c:pt>
                <c:pt idx="91">
                  <c:v>1.14376684470706</c:v>
                </c:pt>
                <c:pt idx="92">
                  <c:v>1.16399241044217</c:v>
                </c:pt>
                <c:pt idx="93">
                  <c:v>1.18438464284395</c:v>
                </c:pt>
                <c:pt idx="94">
                  <c:v>1.2049435419124</c:v>
                </c:pt>
                <c:pt idx="95">
                  <c:v>1.22566910764751</c:v>
                </c:pt>
                <c:pt idx="96">
                  <c:v>1.24656134004929</c:v>
                </c:pt>
                <c:pt idx="97">
                  <c:v>1.26762023911773</c:v>
                </c:pt>
                <c:pt idx="98">
                  <c:v>1.28884580485285</c:v>
                </c:pt>
                <c:pt idx="99">
                  <c:v>1.31023803725463</c:v>
                </c:pt>
                <c:pt idx="100">
                  <c:v>1.33179693632307</c:v>
                </c:pt>
                <c:pt idx="101">
                  <c:v>1.35352250205818</c:v>
                </c:pt>
                <c:pt idx="102">
                  <c:v>1.37541473445996</c:v>
                </c:pt>
                <c:pt idx="103">
                  <c:v>1.39747363352841</c:v>
                </c:pt>
                <c:pt idx="104">
                  <c:v>1.41969919926352</c:v>
                </c:pt>
                <c:pt idx="105">
                  <c:v>1.4420914316653</c:v>
                </c:pt>
                <c:pt idx="106">
                  <c:v>1.46465033073375</c:v>
                </c:pt>
                <c:pt idx="107">
                  <c:v>1.48737589646886</c:v>
                </c:pt>
                <c:pt idx="108">
                  <c:v>1.51026812887064</c:v>
                </c:pt>
                <c:pt idx="109">
                  <c:v>1.53332702793909</c:v>
                </c:pt>
                <c:pt idx="110">
                  <c:v>1.5565525936742</c:v>
                </c:pt>
                <c:pt idx="111">
                  <c:v>1.57994482607598</c:v>
                </c:pt>
                <c:pt idx="112">
                  <c:v>1.60350372514443</c:v>
                </c:pt>
                <c:pt idx="113">
                  <c:v>1.62722929087954</c:v>
                </c:pt>
                <c:pt idx="114">
                  <c:v>1.65112152328132</c:v>
                </c:pt>
                <c:pt idx="115">
                  <c:v>1.67518042234976</c:v>
                </c:pt>
                <c:pt idx="116">
                  <c:v>1.69940598808488</c:v>
                </c:pt>
                <c:pt idx="117">
                  <c:v>1.72379822048666</c:v>
                </c:pt>
                <c:pt idx="118">
                  <c:v>1.7483571195551</c:v>
                </c:pt>
                <c:pt idx="119">
                  <c:v>1.77308268529022</c:v>
                </c:pt>
                <c:pt idx="120">
                  <c:v>1.79797491769199</c:v>
                </c:pt>
                <c:pt idx="121">
                  <c:v>1.82303381676044</c:v>
                </c:pt>
                <c:pt idx="122">
                  <c:v>1.84825938249555</c:v>
                </c:pt>
                <c:pt idx="123">
                  <c:v>1.87365161489733</c:v>
                </c:pt>
                <c:pt idx="124">
                  <c:v>1.89921051396578</c:v>
                </c:pt>
                <c:pt idx="125">
                  <c:v>1.92493607970089</c:v>
                </c:pt>
                <c:pt idx="126">
                  <c:v>1.95082831210267</c:v>
                </c:pt>
                <c:pt idx="127">
                  <c:v>1.97688721117112</c:v>
                </c:pt>
                <c:pt idx="128">
                  <c:v>2.00311277690623</c:v>
                </c:pt>
                <c:pt idx="129">
                  <c:v>2.02950500930801</c:v>
                </c:pt>
                <c:pt idx="130">
                  <c:v>2.05606390837646</c:v>
                </c:pt>
                <c:pt idx="131">
                  <c:v>2.08278947411157</c:v>
                </c:pt>
                <c:pt idx="132">
                  <c:v>2.10968170651335</c:v>
                </c:pt>
                <c:pt idx="133">
                  <c:v>2.13674060558179</c:v>
                </c:pt>
                <c:pt idx="134">
                  <c:v>2.16396617131691</c:v>
                </c:pt>
                <c:pt idx="135">
                  <c:v>2.19135840371869</c:v>
                </c:pt>
                <c:pt idx="136">
                  <c:v>2.21891730278713</c:v>
                </c:pt>
                <c:pt idx="137">
                  <c:v>2.24664286852225</c:v>
                </c:pt>
                <c:pt idx="138">
                  <c:v>2.27453510092403</c:v>
                </c:pt>
                <c:pt idx="139">
                  <c:v>2.30259399999247</c:v>
                </c:pt>
                <c:pt idx="140">
                  <c:v>2.33081956572758</c:v>
                </c:pt>
                <c:pt idx="141">
                  <c:v>2.35921179812936</c:v>
                </c:pt>
                <c:pt idx="142">
                  <c:v>2.38777069719781</c:v>
                </c:pt>
                <c:pt idx="143">
                  <c:v>2.41649626293292</c:v>
                </c:pt>
                <c:pt idx="144">
                  <c:v>2.4453884953347</c:v>
                </c:pt>
                <c:pt idx="145">
                  <c:v>2.47444739440315</c:v>
                </c:pt>
                <c:pt idx="146">
                  <c:v>2.50367296013826</c:v>
                </c:pt>
                <c:pt idx="147">
                  <c:v>2.53306519254004</c:v>
                </c:pt>
                <c:pt idx="148">
                  <c:v>2.56262409160849</c:v>
                </c:pt>
                <c:pt idx="149">
                  <c:v>2.5923496573436</c:v>
                </c:pt>
                <c:pt idx="150">
                  <c:v>2.62224188974538</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Eff_vs_IOUT!$AN$7:$AN$157</c:f>
              <c:numCache>
                <c:formatCode>General</c:formatCode>
                <c:ptCount val="151"/>
                <c:pt idx="0">
                  <c:v>0</c:v>
                </c:pt>
                <c:pt idx="1">
                  <c:v>0.00826666666666667</c:v>
                </c:pt>
                <c:pt idx="2">
                  <c:v>0.0165333333333333</c:v>
                </c:pt>
                <c:pt idx="3">
                  <c:v>0.0248</c:v>
                </c:pt>
                <c:pt idx="4">
                  <c:v>0.0330666666666667</c:v>
                </c:pt>
                <c:pt idx="5">
                  <c:v>0.0413333333333333</c:v>
                </c:pt>
                <c:pt idx="6">
                  <c:v>0.0496</c:v>
                </c:pt>
                <c:pt idx="7">
                  <c:v>0.0578666666666667</c:v>
                </c:pt>
                <c:pt idx="8">
                  <c:v>0.0661333333333333</c:v>
                </c:pt>
                <c:pt idx="9">
                  <c:v>0.0744</c:v>
                </c:pt>
                <c:pt idx="10">
                  <c:v>0.0826666666666667</c:v>
                </c:pt>
                <c:pt idx="11">
                  <c:v>0.0909333333333333</c:v>
                </c:pt>
                <c:pt idx="12">
                  <c:v>0.0992</c:v>
                </c:pt>
                <c:pt idx="13">
                  <c:v>0.107466666666667</c:v>
                </c:pt>
                <c:pt idx="14">
                  <c:v>0.115733333333333</c:v>
                </c:pt>
                <c:pt idx="15">
                  <c:v>0.124</c:v>
                </c:pt>
                <c:pt idx="16">
                  <c:v>0.132266666666667</c:v>
                </c:pt>
                <c:pt idx="17">
                  <c:v>0.140533333333333</c:v>
                </c:pt>
                <c:pt idx="18">
                  <c:v>0.1488</c:v>
                </c:pt>
                <c:pt idx="19">
                  <c:v>0.157066666666667</c:v>
                </c:pt>
                <c:pt idx="20">
                  <c:v>0.165333333333333</c:v>
                </c:pt>
                <c:pt idx="21">
                  <c:v>0.1736</c:v>
                </c:pt>
                <c:pt idx="22">
                  <c:v>0.181866666666667</c:v>
                </c:pt>
                <c:pt idx="23">
                  <c:v>0.190133333333333</c:v>
                </c:pt>
                <c:pt idx="24">
                  <c:v>0.1984</c:v>
                </c:pt>
                <c:pt idx="25">
                  <c:v>0.206666666666667</c:v>
                </c:pt>
                <c:pt idx="26">
                  <c:v>0.214933333333333</c:v>
                </c:pt>
                <c:pt idx="27">
                  <c:v>0.2232</c:v>
                </c:pt>
                <c:pt idx="28">
                  <c:v>0.231466666666667</c:v>
                </c:pt>
                <c:pt idx="29">
                  <c:v>0.239733333333333</c:v>
                </c:pt>
                <c:pt idx="30">
                  <c:v>0.248</c:v>
                </c:pt>
                <c:pt idx="31">
                  <c:v>0.256266666666667</c:v>
                </c:pt>
                <c:pt idx="32">
                  <c:v>0.264533333333333</c:v>
                </c:pt>
                <c:pt idx="33">
                  <c:v>0.2728</c:v>
                </c:pt>
                <c:pt idx="34">
                  <c:v>0.281066666666667</c:v>
                </c:pt>
                <c:pt idx="35">
                  <c:v>0.289333333333333</c:v>
                </c:pt>
                <c:pt idx="36">
                  <c:v>0.2976</c:v>
                </c:pt>
                <c:pt idx="37">
                  <c:v>0.305866666666667</c:v>
                </c:pt>
                <c:pt idx="38">
                  <c:v>0.314133333333333</c:v>
                </c:pt>
                <c:pt idx="39">
                  <c:v>0.3224</c:v>
                </c:pt>
                <c:pt idx="40">
                  <c:v>0.330666666666667</c:v>
                </c:pt>
                <c:pt idx="41">
                  <c:v>0.338933333333333</c:v>
                </c:pt>
                <c:pt idx="42">
                  <c:v>0.3472</c:v>
                </c:pt>
                <c:pt idx="43">
                  <c:v>0.355466666666667</c:v>
                </c:pt>
                <c:pt idx="44">
                  <c:v>0.363733333333333</c:v>
                </c:pt>
                <c:pt idx="45">
                  <c:v>0.372</c:v>
                </c:pt>
                <c:pt idx="46">
                  <c:v>0.380266666666667</c:v>
                </c:pt>
                <c:pt idx="47">
                  <c:v>0.388533333333333</c:v>
                </c:pt>
                <c:pt idx="48">
                  <c:v>0.3968</c:v>
                </c:pt>
                <c:pt idx="49">
                  <c:v>0.405066666666667</c:v>
                </c:pt>
                <c:pt idx="50">
                  <c:v>0.413333333333333</c:v>
                </c:pt>
                <c:pt idx="51">
                  <c:v>0.4216</c:v>
                </c:pt>
                <c:pt idx="52">
                  <c:v>0.429866666666667</c:v>
                </c:pt>
                <c:pt idx="53">
                  <c:v>0.438133333333333</c:v>
                </c:pt>
                <c:pt idx="54">
                  <c:v>0.4464</c:v>
                </c:pt>
                <c:pt idx="55">
                  <c:v>0.454666666666667</c:v>
                </c:pt>
                <c:pt idx="56">
                  <c:v>0.462933333333333</c:v>
                </c:pt>
                <c:pt idx="57">
                  <c:v>0.4712</c:v>
                </c:pt>
                <c:pt idx="58">
                  <c:v>0.479466666666667</c:v>
                </c:pt>
                <c:pt idx="59">
                  <c:v>0.487733333333333</c:v>
                </c:pt>
                <c:pt idx="60">
                  <c:v>0.496</c:v>
                </c:pt>
                <c:pt idx="61">
                  <c:v>0.504266666666667</c:v>
                </c:pt>
                <c:pt idx="62">
                  <c:v>0.512533333333333</c:v>
                </c:pt>
                <c:pt idx="63">
                  <c:v>0.5208</c:v>
                </c:pt>
                <c:pt idx="64">
                  <c:v>0.529066666666667</c:v>
                </c:pt>
                <c:pt idx="65">
                  <c:v>0.537333333333333</c:v>
                </c:pt>
                <c:pt idx="66">
                  <c:v>0.5456</c:v>
                </c:pt>
                <c:pt idx="67">
                  <c:v>0.553866666666667</c:v>
                </c:pt>
                <c:pt idx="68">
                  <c:v>0.562133333333333</c:v>
                </c:pt>
                <c:pt idx="69">
                  <c:v>0.5704</c:v>
                </c:pt>
                <c:pt idx="70">
                  <c:v>0.578666666666667</c:v>
                </c:pt>
                <c:pt idx="71">
                  <c:v>0.586933333333333</c:v>
                </c:pt>
                <c:pt idx="72">
                  <c:v>0.5952</c:v>
                </c:pt>
                <c:pt idx="73">
                  <c:v>0.603466666666667</c:v>
                </c:pt>
                <c:pt idx="74">
                  <c:v>0.611733333333333</c:v>
                </c:pt>
                <c:pt idx="75">
                  <c:v>0.62</c:v>
                </c:pt>
                <c:pt idx="76">
                  <c:v>0.628266666666667</c:v>
                </c:pt>
                <c:pt idx="77">
                  <c:v>0.636533333333333</c:v>
                </c:pt>
                <c:pt idx="78">
                  <c:v>0.6448</c:v>
                </c:pt>
                <c:pt idx="79">
                  <c:v>0.653066666666667</c:v>
                </c:pt>
                <c:pt idx="80">
                  <c:v>0.661333333333333</c:v>
                </c:pt>
                <c:pt idx="81">
                  <c:v>0.6696</c:v>
                </c:pt>
                <c:pt idx="82">
                  <c:v>0.677866666666667</c:v>
                </c:pt>
                <c:pt idx="83">
                  <c:v>0.686133333333333</c:v>
                </c:pt>
                <c:pt idx="84">
                  <c:v>0.6944</c:v>
                </c:pt>
                <c:pt idx="85">
                  <c:v>0.702666666666667</c:v>
                </c:pt>
                <c:pt idx="86">
                  <c:v>0.710933333333333</c:v>
                </c:pt>
                <c:pt idx="87">
                  <c:v>0.7192</c:v>
                </c:pt>
                <c:pt idx="88">
                  <c:v>0.727466666666667</c:v>
                </c:pt>
                <c:pt idx="89">
                  <c:v>0.735733333333333</c:v>
                </c:pt>
                <c:pt idx="90">
                  <c:v>0.744</c:v>
                </c:pt>
                <c:pt idx="91">
                  <c:v>0.752266666666667</c:v>
                </c:pt>
                <c:pt idx="92">
                  <c:v>0.760533333333333</c:v>
                </c:pt>
                <c:pt idx="93">
                  <c:v>0.7688</c:v>
                </c:pt>
                <c:pt idx="94">
                  <c:v>0.777066666666667</c:v>
                </c:pt>
                <c:pt idx="95">
                  <c:v>0.785333333333333</c:v>
                </c:pt>
                <c:pt idx="96">
                  <c:v>0.7936</c:v>
                </c:pt>
                <c:pt idx="97">
                  <c:v>0.801866666666667</c:v>
                </c:pt>
                <c:pt idx="98">
                  <c:v>0.810133333333333</c:v>
                </c:pt>
                <c:pt idx="99">
                  <c:v>0.8184</c:v>
                </c:pt>
                <c:pt idx="100">
                  <c:v>0.826666666666667</c:v>
                </c:pt>
                <c:pt idx="101">
                  <c:v>0.834933333333333</c:v>
                </c:pt>
                <c:pt idx="102">
                  <c:v>0.8432</c:v>
                </c:pt>
                <c:pt idx="103">
                  <c:v>0.851466666666667</c:v>
                </c:pt>
                <c:pt idx="104">
                  <c:v>0.859733333333333</c:v>
                </c:pt>
                <c:pt idx="105">
                  <c:v>0.868</c:v>
                </c:pt>
                <c:pt idx="106">
                  <c:v>0.876266666666667</c:v>
                </c:pt>
                <c:pt idx="107">
                  <c:v>0.884533333333333</c:v>
                </c:pt>
                <c:pt idx="108">
                  <c:v>0.8928</c:v>
                </c:pt>
                <c:pt idx="109">
                  <c:v>0.901066666666667</c:v>
                </c:pt>
                <c:pt idx="110">
                  <c:v>0.909333333333333</c:v>
                </c:pt>
                <c:pt idx="111">
                  <c:v>0.9176</c:v>
                </c:pt>
                <c:pt idx="112">
                  <c:v>0.925866666666667</c:v>
                </c:pt>
                <c:pt idx="113">
                  <c:v>0.934133333333333</c:v>
                </c:pt>
                <c:pt idx="114">
                  <c:v>0.9424</c:v>
                </c:pt>
                <c:pt idx="115">
                  <c:v>0.950666666666667</c:v>
                </c:pt>
                <c:pt idx="116">
                  <c:v>0.958933333333333</c:v>
                </c:pt>
                <c:pt idx="117">
                  <c:v>0.9672</c:v>
                </c:pt>
                <c:pt idx="118">
                  <c:v>0.975466666666667</c:v>
                </c:pt>
                <c:pt idx="119">
                  <c:v>0.983733333333333</c:v>
                </c:pt>
                <c:pt idx="120">
                  <c:v>0.992</c:v>
                </c:pt>
                <c:pt idx="121">
                  <c:v>1.00026666666667</c:v>
                </c:pt>
                <c:pt idx="122">
                  <c:v>1.00853333333333</c:v>
                </c:pt>
                <c:pt idx="123">
                  <c:v>1.0168</c:v>
                </c:pt>
                <c:pt idx="124">
                  <c:v>1.02506666666667</c:v>
                </c:pt>
                <c:pt idx="125">
                  <c:v>1.03333333333333</c:v>
                </c:pt>
                <c:pt idx="126">
                  <c:v>1.0416</c:v>
                </c:pt>
                <c:pt idx="127">
                  <c:v>1.04986666666667</c:v>
                </c:pt>
                <c:pt idx="128">
                  <c:v>1.05813333333333</c:v>
                </c:pt>
                <c:pt idx="129">
                  <c:v>1.0664</c:v>
                </c:pt>
                <c:pt idx="130">
                  <c:v>1.07466666666667</c:v>
                </c:pt>
                <c:pt idx="131">
                  <c:v>1.08293333333333</c:v>
                </c:pt>
                <c:pt idx="132">
                  <c:v>1.0912</c:v>
                </c:pt>
                <c:pt idx="133">
                  <c:v>1.09946666666667</c:v>
                </c:pt>
                <c:pt idx="134">
                  <c:v>1.10773333333333</c:v>
                </c:pt>
                <c:pt idx="135">
                  <c:v>1.116</c:v>
                </c:pt>
                <c:pt idx="136">
                  <c:v>1.12426666666667</c:v>
                </c:pt>
                <c:pt idx="137">
                  <c:v>1.13253333333333</c:v>
                </c:pt>
                <c:pt idx="138">
                  <c:v>1.1408</c:v>
                </c:pt>
                <c:pt idx="139">
                  <c:v>1.14906666666667</c:v>
                </c:pt>
                <c:pt idx="140">
                  <c:v>1.15733333333333</c:v>
                </c:pt>
                <c:pt idx="141">
                  <c:v>1.1656</c:v>
                </c:pt>
                <c:pt idx="142">
                  <c:v>1.17386666666667</c:v>
                </c:pt>
                <c:pt idx="143">
                  <c:v>1.18213333333333</c:v>
                </c:pt>
                <c:pt idx="144">
                  <c:v>1.1904</c:v>
                </c:pt>
                <c:pt idx="145">
                  <c:v>1.19866666666667</c:v>
                </c:pt>
                <c:pt idx="146">
                  <c:v>1.20693333333333</c:v>
                </c:pt>
                <c:pt idx="147">
                  <c:v>1.2152</c:v>
                </c:pt>
                <c:pt idx="148">
                  <c:v>1.22346666666667</c:v>
                </c:pt>
                <c:pt idx="149">
                  <c:v>1.23173333333333</c:v>
                </c:pt>
                <c:pt idx="150">
                  <c:v>1.24</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Eff_vs_IOUT!$AO$7:$AO$157</c:f>
              <c:numCache>
                <c:formatCode>General</c:formatCode>
                <c:ptCount val="151"/>
                <c:pt idx="0">
                  <c:v>0</c:v>
                </c:pt>
                <c:pt idx="1">
                  <c:v>0.000488746557755868</c:v>
                </c:pt>
                <c:pt idx="2">
                  <c:v>0.0016632</c:v>
                </c:pt>
                <c:pt idx="3">
                  <c:v>0.00349185194151847</c:v>
                </c:pt>
                <c:pt idx="4">
                  <c:v>0.00598608604141207</c:v>
                </c:pt>
                <c:pt idx="5">
                  <c:v>0.00199357520786092</c:v>
                </c:pt>
                <c:pt idx="6">
                  <c:v>0.00260468631897203</c:v>
                </c:pt>
                <c:pt idx="7">
                  <c:v>0.00332690854119426</c:v>
                </c:pt>
                <c:pt idx="8">
                  <c:v>0.00416024187452759</c:v>
                </c:pt>
                <c:pt idx="9">
                  <c:v>0.00510468631897204</c:v>
                </c:pt>
                <c:pt idx="10">
                  <c:v>0.00616024187452759</c:v>
                </c:pt>
                <c:pt idx="11">
                  <c:v>0.00732690854119426</c:v>
                </c:pt>
                <c:pt idx="12">
                  <c:v>0.00860468631897203</c:v>
                </c:pt>
                <c:pt idx="13">
                  <c:v>0.00999357520786092</c:v>
                </c:pt>
                <c:pt idx="14">
                  <c:v>0.0114935752078609</c:v>
                </c:pt>
                <c:pt idx="15">
                  <c:v>0.013104686318972</c:v>
                </c:pt>
                <c:pt idx="16">
                  <c:v>0.0148269085411943</c:v>
                </c:pt>
                <c:pt idx="17">
                  <c:v>0.0166602418745276</c:v>
                </c:pt>
                <c:pt idx="18">
                  <c:v>0.018604686318972</c:v>
                </c:pt>
                <c:pt idx="19">
                  <c:v>0.0206602418745276</c:v>
                </c:pt>
                <c:pt idx="20">
                  <c:v>0.0228269085411943</c:v>
                </c:pt>
                <c:pt idx="21">
                  <c:v>0.025104686318972</c:v>
                </c:pt>
                <c:pt idx="22">
                  <c:v>0.0274935752078609</c:v>
                </c:pt>
                <c:pt idx="23">
                  <c:v>0.0299935752078609</c:v>
                </c:pt>
                <c:pt idx="24">
                  <c:v>0.032604686318972</c:v>
                </c:pt>
                <c:pt idx="25">
                  <c:v>0.0353269085411943</c:v>
                </c:pt>
                <c:pt idx="26">
                  <c:v>0.0381602418745276</c:v>
                </c:pt>
                <c:pt idx="27">
                  <c:v>0.041104686318972</c:v>
                </c:pt>
                <c:pt idx="28">
                  <c:v>0.0441602418745276</c:v>
                </c:pt>
                <c:pt idx="29">
                  <c:v>0.0473269085411943</c:v>
                </c:pt>
                <c:pt idx="30">
                  <c:v>0.050604686318972</c:v>
                </c:pt>
                <c:pt idx="31">
                  <c:v>0.0539935752078609</c:v>
                </c:pt>
                <c:pt idx="32">
                  <c:v>0.0574935752078609</c:v>
                </c:pt>
                <c:pt idx="33">
                  <c:v>0.061104686318972</c:v>
                </c:pt>
                <c:pt idx="34">
                  <c:v>0.0648269085411943</c:v>
                </c:pt>
                <c:pt idx="35">
                  <c:v>0.0686602418745276</c:v>
                </c:pt>
                <c:pt idx="36">
                  <c:v>0.0726046863189721</c:v>
                </c:pt>
                <c:pt idx="37">
                  <c:v>0.0766602418745276</c:v>
                </c:pt>
                <c:pt idx="38">
                  <c:v>0.0808269085411943</c:v>
                </c:pt>
                <c:pt idx="39">
                  <c:v>0.085104686318972</c:v>
                </c:pt>
                <c:pt idx="40">
                  <c:v>0.0894935752078609</c:v>
                </c:pt>
                <c:pt idx="41">
                  <c:v>0.093993575207861</c:v>
                </c:pt>
                <c:pt idx="42">
                  <c:v>0.0986046863189721</c:v>
                </c:pt>
                <c:pt idx="43">
                  <c:v>0.103326908541194</c:v>
                </c:pt>
                <c:pt idx="44">
                  <c:v>0.108160241874528</c:v>
                </c:pt>
                <c:pt idx="45">
                  <c:v>0.113104686318972</c:v>
                </c:pt>
                <c:pt idx="46">
                  <c:v>0.118160241874528</c:v>
                </c:pt>
                <c:pt idx="47">
                  <c:v>0.123326908541194</c:v>
                </c:pt>
                <c:pt idx="48">
                  <c:v>0.128604686318972</c:v>
                </c:pt>
                <c:pt idx="49">
                  <c:v>0.133993575207861</c:v>
                </c:pt>
                <c:pt idx="50">
                  <c:v>0.139493575207861</c:v>
                </c:pt>
                <c:pt idx="51">
                  <c:v>0.145104686318972</c:v>
                </c:pt>
                <c:pt idx="52">
                  <c:v>0.150826908541194</c:v>
                </c:pt>
                <c:pt idx="53">
                  <c:v>0.156660241874528</c:v>
                </c:pt>
                <c:pt idx="54">
                  <c:v>0.162604686318972</c:v>
                </c:pt>
                <c:pt idx="55">
                  <c:v>0.168660241874528</c:v>
                </c:pt>
                <c:pt idx="56">
                  <c:v>0.174826908541194</c:v>
                </c:pt>
                <c:pt idx="57">
                  <c:v>0.181104686318972</c:v>
                </c:pt>
                <c:pt idx="58">
                  <c:v>0.187493575207861</c:v>
                </c:pt>
                <c:pt idx="59">
                  <c:v>0.193993575207861</c:v>
                </c:pt>
                <c:pt idx="60">
                  <c:v>0.200604686318972</c:v>
                </c:pt>
                <c:pt idx="61">
                  <c:v>0.207326908541194</c:v>
                </c:pt>
                <c:pt idx="62">
                  <c:v>0.214160241874528</c:v>
                </c:pt>
                <c:pt idx="63">
                  <c:v>0.221104686318972</c:v>
                </c:pt>
                <c:pt idx="64">
                  <c:v>0.228160241874528</c:v>
                </c:pt>
                <c:pt idx="65">
                  <c:v>0.235326908541194</c:v>
                </c:pt>
                <c:pt idx="66">
                  <c:v>0.242604686318972</c:v>
                </c:pt>
                <c:pt idx="67">
                  <c:v>0.249993575207861</c:v>
                </c:pt>
                <c:pt idx="68">
                  <c:v>0.257493575207861</c:v>
                </c:pt>
                <c:pt idx="69">
                  <c:v>0.265104686318972</c:v>
                </c:pt>
                <c:pt idx="70">
                  <c:v>0.272826908541194</c:v>
                </c:pt>
                <c:pt idx="71">
                  <c:v>0.280660241874528</c:v>
                </c:pt>
                <c:pt idx="72">
                  <c:v>0.288604686318972</c:v>
                </c:pt>
                <c:pt idx="73">
                  <c:v>0.296660241874528</c:v>
                </c:pt>
                <c:pt idx="74">
                  <c:v>0.304826908541194</c:v>
                </c:pt>
                <c:pt idx="75">
                  <c:v>0.313104686318972</c:v>
                </c:pt>
                <c:pt idx="76">
                  <c:v>0.321493575207861</c:v>
                </c:pt>
                <c:pt idx="77">
                  <c:v>0.329993575207861</c:v>
                </c:pt>
                <c:pt idx="78">
                  <c:v>0.338604686318972</c:v>
                </c:pt>
                <c:pt idx="79">
                  <c:v>0.347326908541194</c:v>
                </c:pt>
                <c:pt idx="80">
                  <c:v>0.356160241874528</c:v>
                </c:pt>
                <c:pt idx="81">
                  <c:v>0.365104686318972</c:v>
                </c:pt>
                <c:pt idx="82">
                  <c:v>0.374160241874528</c:v>
                </c:pt>
                <c:pt idx="83">
                  <c:v>0.383326908541194</c:v>
                </c:pt>
                <c:pt idx="84">
                  <c:v>0.392604686318972</c:v>
                </c:pt>
                <c:pt idx="85">
                  <c:v>0.401993575207861</c:v>
                </c:pt>
                <c:pt idx="86">
                  <c:v>0.411493575207861</c:v>
                </c:pt>
                <c:pt idx="87">
                  <c:v>0.421104686318972</c:v>
                </c:pt>
                <c:pt idx="88">
                  <c:v>0.430826908541194</c:v>
                </c:pt>
                <c:pt idx="89">
                  <c:v>0.440660241874528</c:v>
                </c:pt>
                <c:pt idx="90">
                  <c:v>0.450604686318972</c:v>
                </c:pt>
                <c:pt idx="91">
                  <c:v>0.460660241874527</c:v>
                </c:pt>
                <c:pt idx="92">
                  <c:v>0.470826908541194</c:v>
                </c:pt>
                <c:pt idx="93">
                  <c:v>0.481104686318972</c:v>
                </c:pt>
                <c:pt idx="94">
                  <c:v>0.491493575207861</c:v>
                </c:pt>
                <c:pt idx="95">
                  <c:v>0.501993575207861</c:v>
                </c:pt>
                <c:pt idx="96">
                  <c:v>0.512604686318972</c:v>
                </c:pt>
                <c:pt idx="97">
                  <c:v>0.523326908541194</c:v>
                </c:pt>
                <c:pt idx="98">
                  <c:v>0.534160241874528</c:v>
                </c:pt>
                <c:pt idx="99">
                  <c:v>0.545104686318972</c:v>
                </c:pt>
                <c:pt idx="100">
                  <c:v>0.556160241874528</c:v>
                </c:pt>
                <c:pt idx="101">
                  <c:v>0.567326908541194</c:v>
                </c:pt>
                <c:pt idx="102">
                  <c:v>0.578604686318972</c:v>
                </c:pt>
                <c:pt idx="103">
                  <c:v>0.589993575207861</c:v>
                </c:pt>
                <c:pt idx="104">
                  <c:v>0.601493575207861</c:v>
                </c:pt>
                <c:pt idx="105">
                  <c:v>0.613104686318972</c:v>
                </c:pt>
                <c:pt idx="106">
                  <c:v>0.624826908541194</c:v>
                </c:pt>
                <c:pt idx="107">
                  <c:v>0.636660241874528</c:v>
                </c:pt>
                <c:pt idx="108">
                  <c:v>0.648604686318972</c:v>
                </c:pt>
                <c:pt idx="109">
                  <c:v>0.660660241874528</c:v>
                </c:pt>
                <c:pt idx="110">
                  <c:v>0.672826908541194</c:v>
                </c:pt>
                <c:pt idx="111">
                  <c:v>0.685104686318972</c:v>
                </c:pt>
                <c:pt idx="112">
                  <c:v>0.697493575207861</c:v>
                </c:pt>
                <c:pt idx="113">
                  <c:v>0.709993575207861</c:v>
                </c:pt>
                <c:pt idx="114">
                  <c:v>0.722604686318972</c:v>
                </c:pt>
                <c:pt idx="115">
                  <c:v>0.735326908541194</c:v>
                </c:pt>
                <c:pt idx="116">
                  <c:v>0.748160241874528</c:v>
                </c:pt>
                <c:pt idx="117">
                  <c:v>0.761104686318972</c:v>
                </c:pt>
                <c:pt idx="118">
                  <c:v>0.774160241874528</c:v>
                </c:pt>
                <c:pt idx="119">
                  <c:v>0.787326908541194</c:v>
                </c:pt>
                <c:pt idx="120">
                  <c:v>0.800604686318972</c:v>
                </c:pt>
                <c:pt idx="121">
                  <c:v>0.813993575207861</c:v>
                </c:pt>
                <c:pt idx="122">
                  <c:v>0.827493575207861</c:v>
                </c:pt>
                <c:pt idx="123">
                  <c:v>0.841104686318973</c:v>
                </c:pt>
                <c:pt idx="124">
                  <c:v>0.854826908541195</c:v>
                </c:pt>
                <c:pt idx="125">
                  <c:v>0.868660241874528</c:v>
                </c:pt>
                <c:pt idx="126">
                  <c:v>0.882604686318972</c:v>
                </c:pt>
                <c:pt idx="127">
                  <c:v>0.896660241874528</c:v>
                </c:pt>
                <c:pt idx="128">
                  <c:v>0.910826908541194</c:v>
                </c:pt>
                <c:pt idx="129">
                  <c:v>0.925104686318972</c:v>
                </c:pt>
                <c:pt idx="130">
                  <c:v>0.939493575207861</c:v>
                </c:pt>
                <c:pt idx="131">
                  <c:v>0.953993575207861</c:v>
                </c:pt>
                <c:pt idx="132">
                  <c:v>0.968604686318972</c:v>
                </c:pt>
                <c:pt idx="133">
                  <c:v>0.983326908541195</c:v>
                </c:pt>
                <c:pt idx="134">
                  <c:v>0.998160241874528</c:v>
                </c:pt>
                <c:pt idx="135">
                  <c:v>1.01310468631897</c:v>
                </c:pt>
                <c:pt idx="136">
                  <c:v>1.02816024187453</c:v>
                </c:pt>
                <c:pt idx="137">
                  <c:v>1.04332690854119</c:v>
                </c:pt>
                <c:pt idx="138">
                  <c:v>1.05860468631897</c:v>
                </c:pt>
                <c:pt idx="139">
                  <c:v>1.07399357520786</c:v>
                </c:pt>
                <c:pt idx="140">
                  <c:v>1.08949357520786</c:v>
                </c:pt>
                <c:pt idx="141">
                  <c:v>1.10510468631897</c:v>
                </c:pt>
                <c:pt idx="142">
                  <c:v>1.1208269085412</c:v>
                </c:pt>
                <c:pt idx="143">
                  <c:v>1.13666024187453</c:v>
                </c:pt>
                <c:pt idx="144">
                  <c:v>1.15260468631897</c:v>
                </c:pt>
                <c:pt idx="145">
                  <c:v>1.16866024187453</c:v>
                </c:pt>
                <c:pt idx="146">
                  <c:v>1.18482690854119</c:v>
                </c:pt>
                <c:pt idx="147">
                  <c:v>1.20110468631897</c:v>
                </c:pt>
                <c:pt idx="148">
                  <c:v>1.21749357520786</c:v>
                </c:pt>
                <c:pt idx="149">
                  <c:v>1.23399357520786</c:v>
                </c:pt>
                <c:pt idx="150">
                  <c:v>1.25060468631897</c:v>
                </c:pt>
              </c:numCache>
            </c:numRef>
          </c:yVal>
          <c:smooth val="1"/>
        </c:ser>
        <c:dLbls>
          <c:showLegendKey val="0"/>
          <c:showVal val="0"/>
          <c:showCatName val="0"/>
          <c:showSerName val="0"/>
          <c:showPercent val="0"/>
          <c:showBubbleSize val="0"/>
        </c:dLbls>
        <c:axId val="178635520"/>
        <c:axId val="178616960"/>
      </c:scatterChart>
      <c:valAx>
        <c:axId val="178605056"/>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5040"/>
        <c:crosses val="autoZero"/>
        <c:crossBetween val="midCat"/>
      </c:valAx>
      <c:valAx>
        <c:axId val="178615040"/>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05056"/>
        <c:crosses val="autoZero"/>
        <c:crossBetween val="midCat"/>
      </c:valAx>
      <c:valAx>
        <c:axId val="178635520"/>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6960"/>
        <c:crosses val="autoZero"/>
        <c:crossBetween val="midCat"/>
      </c:valAx>
      <c:valAx>
        <c:axId val="178616960"/>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35520"/>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1d3f89-6278-44e1-9e6e-868c9937126f}"/>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trlProps/ctrlProp1.xml><?xml version="1.0" encoding="utf-8"?>
<formControlPr xmlns="http://schemas.microsoft.com/office/spreadsheetml/2009/9/main" objectType="Spin" dx="20" fmlaLink="Loop_Modeling!$B$16" max="60" noThreeD="1" page="10" val="4"/>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2.GIF"/><Relationship Id="rId1" Type="http://schemas.openxmlformats.org/officeDocument/2006/relationships/hyperlink" Target="http://www.ti.com" TargetMode="Externa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9</xdr:col>
      <xdr:colOff>22860</xdr:colOff>
      <xdr:row>52</xdr:row>
      <xdr:rowOff>1</xdr:rowOff>
    </xdr:from>
    <xdr:to>
      <xdr:col>25</xdr:col>
      <xdr:colOff>598714</xdr:colOff>
      <xdr:row>73</xdr:row>
      <xdr:rowOff>175261</xdr:rowOff>
    </xdr:to>
    <xdr:graphicFrame>
      <xdr:nvGraphicFramePr>
        <xdr:cNvPr id="2" name="Chart 1"/>
        <xdr:cNvGraphicFramePr/>
      </xdr:nvGraphicFramePr>
      <xdr:xfrm>
        <a:off x="5233035" y="11289665"/>
        <a:ext cx="9635490" cy="460438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22861</xdr:colOff>
      <xdr:row>76</xdr:row>
      <xdr:rowOff>7620</xdr:rowOff>
    </xdr:from>
    <xdr:to>
      <xdr:col>25</xdr:col>
      <xdr:colOff>600637</xdr:colOff>
      <xdr:row>100</xdr:row>
      <xdr:rowOff>163286</xdr:rowOff>
    </xdr:to>
    <xdr:graphicFrame>
      <xdr:nvGraphicFramePr>
        <xdr:cNvPr id="6" name="Chart 5"/>
        <xdr:cNvGraphicFramePr/>
      </xdr:nvGraphicFramePr>
      <xdr:xfrm>
        <a:off x="5233035" y="16402685"/>
        <a:ext cx="9635490" cy="49847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7</xdr:col>
          <xdr:colOff>752474</xdr:colOff>
          <xdr:row>58</xdr:row>
          <xdr:rowOff>0</xdr:rowOff>
        </xdr:from>
        <xdr:to>
          <xdr:col>8</xdr:col>
          <xdr:colOff>269327</xdr:colOff>
          <xdr:row>60</xdr:row>
          <xdr:rowOff>0</xdr:rowOff>
        </xdr:to>
        <xdr:sp>
          <xdr:nvSpPr>
            <xdr:cNvPr id="1060" name="Spinner 36" hidden="1">
              <a:extLst>
                <a:ext uri="{63B3BB69-23CF-44E3-9099-C40C66FF867C}">
                  <a14:compatExt spid="_x0000_s1060"/>
                </a:ext>
              </a:extLst>
            </xdr:cNvPr>
            <xdr:cNvSpPr/>
          </xdr:nvSpPr>
          <xdr:spPr>
            <a:xfrm>
              <a:off x="4885690" y="12442190"/>
              <a:ext cx="317500" cy="428625"/>
            </a:xfrm>
            <a:prstGeom prst="rect">
              <a:avLst/>
            </a:prstGeom>
          </xdr:spPr>
        </xdr:sp>
        <xdr:clientData/>
      </xdr:twoCellAnchor>
    </mc:Choice>
    <mc:Fallback/>
  </mc:AlternateContent>
  <xdr:twoCellAnchor>
    <xdr:from>
      <xdr:col>13</xdr:col>
      <xdr:colOff>560313</xdr:colOff>
      <xdr:row>51</xdr:row>
      <xdr:rowOff>62752</xdr:rowOff>
    </xdr:from>
    <xdr:to>
      <xdr:col>15</xdr:col>
      <xdr:colOff>289878</xdr:colOff>
      <xdr:row>53</xdr:row>
      <xdr:rowOff>161363</xdr:rowOff>
    </xdr:to>
    <xdr:sp>
      <xdr:nvSpPr>
        <xdr:cNvPr id="4" name="TextBox 3"/>
        <xdr:cNvSpPr txBox="1"/>
      </xdr:nvSpPr>
      <xdr:spPr>
        <a:xfrm>
          <a:off x="7865745" y="11161395"/>
          <a:ext cx="91059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15</xdr:col>
      <xdr:colOff>130006</xdr:colOff>
      <xdr:row>51</xdr:row>
      <xdr:rowOff>71718</xdr:rowOff>
    </xdr:from>
    <xdr:to>
      <xdr:col>16</xdr:col>
      <xdr:colOff>461700</xdr:colOff>
      <xdr:row>53</xdr:row>
      <xdr:rowOff>170330</xdr:rowOff>
    </xdr:to>
    <xdr:sp textlink="VIN_var">
      <xdr:nvSpPr>
        <xdr:cNvPr id="3" name="TextBox 2"/>
        <xdr:cNvSpPr txBox="1"/>
      </xdr:nvSpPr>
      <xdr:spPr>
        <a:xfrm>
          <a:off x="8616315" y="11170285"/>
          <a:ext cx="922655"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945AF08-B1D6-47C0-A1D9-CF710D8B3736}"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16</xdr:col>
      <xdr:colOff>271973</xdr:colOff>
      <xdr:row>51</xdr:row>
      <xdr:rowOff>62752</xdr:rowOff>
    </xdr:from>
    <xdr:to>
      <xdr:col>18</xdr:col>
      <xdr:colOff>11996</xdr:colOff>
      <xdr:row>53</xdr:row>
      <xdr:rowOff>161363</xdr:rowOff>
    </xdr:to>
    <xdr:sp>
      <xdr:nvSpPr>
        <xdr:cNvPr id="12" name="TextBox 11"/>
        <xdr:cNvSpPr txBox="1"/>
      </xdr:nvSpPr>
      <xdr:spPr>
        <a:xfrm>
          <a:off x="9349105" y="11161395"/>
          <a:ext cx="92075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376517</xdr:colOff>
      <xdr:row>76</xdr:row>
      <xdr:rowOff>26894</xdr:rowOff>
    </xdr:from>
    <xdr:to>
      <xdr:col>13</xdr:col>
      <xdr:colOff>116540</xdr:colOff>
      <xdr:row>78</xdr:row>
      <xdr:rowOff>134470</xdr:rowOff>
    </xdr:to>
    <xdr:sp>
      <xdr:nvSpPr>
        <xdr:cNvPr id="9" name="TextBox 8"/>
        <xdr:cNvSpPr txBox="1"/>
      </xdr:nvSpPr>
      <xdr:spPr>
        <a:xfrm>
          <a:off x="6500495" y="16421735"/>
          <a:ext cx="92138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13</xdr:col>
      <xdr:colOff>67851</xdr:colOff>
      <xdr:row>76</xdr:row>
      <xdr:rowOff>35860</xdr:rowOff>
    </xdr:from>
    <xdr:to>
      <xdr:col>14</xdr:col>
      <xdr:colOff>417475</xdr:colOff>
      <xdr:row>78</xdr:row>
      <xdr:rowOff>143437</xdr:rowOff>
    </xdr:to>
    <xdr:sp textlink="VIN_var">
      <xdr:nvSpPr>
        <xdr:cNvPr id="10" name="TextBox 9"/>
        <xdr:cNvSpPr txBox="1"/>
      </xdr:nvSpPr>
      <xdr:spPr>
        <a:xfrm>
          <a:off x="7372985" y="16430625"/>
          <a:ext cx="94043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B256A8-11FB-4B1E-A1DF-DFACC41BEEAC}"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13</xdr:col>
      <xdr:colOff>554332</xdr:colOff>
      <xdr:row>76</xdr:row>
      <xdr:rowOff>26894</xdr:rowOff>
    </xdr:from>
    <xdr:to>
      <xdr:col>15</xdr:col>
      <xdr:colOff>283896</xdr:colOff>
      <xdr:row>78</xdr:row>
      <xdr:rowOff>134470</xdr:rowOff>
    </xdr:to>
    <xdr:sp>
      <xdr:nvSpPr>
        <xdr:cNvPr id="11" name="TextBox 10"/>
        <xdr:cNvSpPr txBox="1"/>
      </xdr:nvSpPr>
      <xdr:spPr>
        <a:xfrm>
          <a:off x="7859395" y="16421735"/>
          <a:ext cx="91122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89647</xdr:colOff>
      <xdr:row>67</xdr:row>
      <xdr:rowOff>134471</xdr:rowOff>
    </xdr:from>
    <xdr:to>
      <xdr:col>15</xdr:col>
      <xdr:colOff>201684</xdr:colOff>
      <xdr:row>68</xdr:row>
      <xdr:rowOff>114300</xdr:rowOff>
    </xdr:to>
    <xdr:sp textlink="Loop_Modeling!A77">
      <xdr:nvSpPr>
        <xdr:cNvPr id="13" name="TextBox 12"/>
        <xdr:cNvSpPr txBox="1"/>
      </xdr:nvSpPr>
      <xdr:spPr>
        <a:xfrm>
          <a:off x="6214110" y="14481175"/>
          <a:ext cx="2473960" cy="2184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7CE13BC-923D-44DF-81B9-035F6847C9BD}" type="TxLink">
            <a:rPr lang="en-US" sz="1100" b="1" i="0" u="none" strike="noStrike">
              <a:solidFill>
                <a:srgbClr val="FF0000"/>
              </a:solidFill>
              <a:latin typeface="Calibri" panose="020F0502020204030204"/>
              <a:cs typeface="Calibri" panose="020F0502020204030204"/>
            </a:rPr>
            <a:t>Crossover Frequency = 3,5 kHz</a:t>
          </a:fld>
          <a:endParaRPr lang="en-US" sz="2400" b="1">
            <a:solidFill>
              <a:srgbClr val="FF0000"/>
            </a:solidFill>
            <a:latin typeface="+mn-lt"/>
            <a:cs typeface="Arial" panose="020B0604020202020204" pitchFamily="7" charset="0"/>
          </a:endParaRPr>
        </a:p>
      </xdr:txBody>
    </xdr:sp>
    <xdr:clientData/>
  </xdr:twoCellAnchor>
  <xdr:twoCellAnchor>
    <xdr:from>
      <xdr:col>11</xdr:col>
      <xdr:colOff>156882</xdr:colOff>
      <xdr:row>69</xdr:row>
      <xdr:rowOff>56030</xdr:rowOff>
    </xdr:from>
    <xdr:to>
      <xdr:col>13</xdr:col>
      <xdr:colOff>202023</xdr:colOff>
      <xdr:row>70</xdr:row>
      <xdr:rowOff>31810</xdr:rowOff>
    </xdr:to>
    <xdr:sp textlink="Loop_Modeling!A78">
      <xdr:nvSpPr>
        <xdr:cNvPr id="14" name="TextBox 13"/>
        <xdr:cNvSpPr txBox="1"/>
      </xdr:nvSpPr>
      <xdr:spPr>
        <a:xfrm>
          <a:off x="6281420" y="14831695"/>
          <a:ext cx="1226185" cy="1758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6C0E0563-A684-422E-8470-05FA83E0B546}" type="TxLink">
            <a:rPr lang="en-US" sz="1100" b="1" i="0" u="none" strike="noStrike">
              <a:solidFill>
                <a:srgbClr val="002060"/>
              </a:solidFill>
              <a:latin typeface="Calibri" panose="020F0502020204030204"/>
              <a:cs typeface="Calibri" panose="020F0502020204030204"/>
            </a:rPr>
            <a:t>Phase Margin = 34°</a:t>
          </a:fld>
          <a:endParaRPr lang="en-US" sz="2400" b="1">
            <a:solidFill>
              <a:srgbClr val="002060"/>
            </a:solidFill>
          </a:endParaRPr>
        </a:p>
      </xdr:txBody>
    </xdr:sp>
    <xdr:clientData/>
  </xdr:twoCellAnchor>
  <xdr:twoCellAnchor editAs="oneCell">
    <xdr:from>
      <xdr:col>10</xdr:col>
      <xdr:colOff>324970</xdr:colOff>
      <xdr:row>11</xdr:row>
      <xdr:rowOff>59671</xdr:rowOff>
    </xdr:from>
    <xdr:to>
      <xdr:col>25</xdr:col>
      <xdr:colOff>37679</xdr:colOff>
      <xdr:row>33</xdr:row>
      <xdr:rowOff>212911</xdr:rowOff>
    </xdr:to>
    <xdr:pic>
      <xdr:nvPicPr>
        <xdr:cNvPr id="8" name="Picture 7"/>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5858510" y="2661920"/>
          <a:ext cx="8456930" cy="480187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152400</xdr:rowOff>
    </xdr:from>
    <xdr:to>
      <xdr:col>1</xdr:col>
      <xdr:colOff>592455</xdr:colOff>
      <xdr:row>2</xdr:row>
      <xdr:rowOff>83771</xdr:rowOff>
    </xdr:to>
    <xdr:pic>
      <xdr:nvPicPr>
        <xdr:cNvPr id="2" name="Picture 1" descr="ti logo">
          <a:hlinkClick xmlns:r="http://schemas.openxmlformats.org/officeDocument/2006/relationships" r:id="rId1"/>
        </xdr:cNvPr>
        <xdr:cNvPicPr>
          <a:picLocks noChangeAspect="1" noChangeArrowheads="1"/>
        </xdr:cNvPicPr>
      </xdr:nvPicPr>
      <xdr:blipFill>
        <a:blip r:embed="rId2" cstate="print">
          <a:extLst>
            <a:ext uri="{28A0092B-C50C-407E-A947-70E740481C1C}">
              <a14:useLocalDpi xmlns:a14="http://schemas.microsoft.com/office/drawing/2010/main" val="0"/>
            </a:ext>
          </a:extLst>
        </a:blip>
        <a:srcRect/>
        <a:stretch>
          <a:fillRect/>
        </a:stretch>
      </xdr:blipFill>
      <xdr:spPr>
        <a:xfrm>
          <a:off x="0" y="152400"/>
          <a:ext cx="2306955" cy="29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xdr:nvSpPr>
        <xdr:cNvPr id="3" name="TextBox 2"/>
        <xdr:cNvSpPr txBox="1"/>
      </xdr:nvSpPr>
      <xdr:spPr>
        <a:xfrm>
          <a:off x="1914525" y="114300"/>
          <a:ext cx="3752850" cy="3816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endParaRPr lang="en-US" sz="1600">
            <a:latin typeface="Arial Black" panose="020B0A04020102020204" pitchFamily="34" charset="0"/>
          </a:endParaRPr>
        </a:p>
      </xdr:txBody>
    </xdr:sp>
    <xdr:clientData/>
  </xdr:oneCellAnchor>
  <xdr:oneCellAnchor>
    <xdr:from>
      <xdr:col>3</xdr:col>
      <xdr:colOff>323850</xdr:colOff>
      <xdr:row>1</xdr:row>
      <xdr:rowOff>28575</xdr:rowOff>
    </xdr:from>
    <xdr:ext cx="4719497" cy="254557"/>
    <xdr:sp>
      <xdr:nvSpPr>
        <xdr:cNvPr id="4" name="TextBox 3">
          <a:hlinkClick xmlns:r="http://schemas.openxmlformats.org/officeDocument/2006/relationships" r:id="rId3"/>
        </xdr:cNvPr>
        <xdr:cNvSpPr txBox="1"/>
      </xdr:nvSpPr>
      <xdr:spPr>
        <a:xfrm>
          <a:off x="6419850" y="209550"/>
          <a:ext cx="471932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7" charset="0"/>
              <a:ea typeface="+mn-ea"/>
              <a:cs typeface="Arial" panose="020B0604020202020204" pitchFamily="7" charset="0"/>
            </a:rPr>
            <a:t>© Copyright 2024</a:t>
          </a:r>
          <a:r>
            <a:rPr lang="en-US" sz="1100" b="0" i="0">
              <a:solidFill>
                <a:schemeClr val="tx1"/>
              </a:solidFill>
              <a:effectLst/>
              <a:latin typeface="Arial" panose="020B0604020202020204" pitchFamily="7" charset="0"/>
              <a:ea typeface="+mn-ea"/>
              <a:cs typeface="Arial" panose="020B0604020202020204" pitchFamily="7" charset="0"/>
            </a:rPr>
            <a:t> Texas Instruments Incorporated. All rights reserved.</a:t>
          </a:r>
          <a:endParaRPr lang="en-US" sz="1100" b="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086227"/>
    <xdr:sp>
      <xdr:nvSpPr>
        <xdr:cNvPr id="5" name="TextBox 4"/>
        <xdr:cNvSpPr txBox="1"/>
      </xdr:nvSpPr>
      <xdr:spPr>
        <a:xfrm>
          <a:off x="94615" y="1132840"/>
          <a:ext cx="11229975" cy="40868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1">
              <a:latin typeface="Arial" panose="020B0604020202020204" pitchFamily="7" charset="0"/>
              <a:cs typeface="Arial" panose="020B0604020202020204" pitchFamily="7" charset="0"/>
            </a:rPr>
            <a:t>LICENSE INFORMATION:</a:t>
          </a:r>
          <a:endParaRPr lang="en-US" sz="1000" b="1">
            <a:latin typeface="Arial" panose="020B0604020202020204" pitchFamily="7" charset="0"/>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Copyright (c) 2021 Texas Instruments Incorporated</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All rights reserved not granted herein.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Limited License.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Redistributions must preserve existing copyright notices and reproduce this license (including the above copyright notice and the disclaimer and (if applicable) source code license limitations below) in the documentation and/or other materials provided with the distribution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 and use in binary form, without modification,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 reverse engineering, decompilation, or disassembly of this software is permitted with respect to any software provided in binary form.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Nothing shall obligate TI to provide you with source code for the software licensed and provided to you in object code.</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If software source code is provided to you, modification and redistribution of the source code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the source code, including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any object code compiled from the source code and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Neither the name of Texas Instruments Incorporated nor the names of its suppliers may be used to endorse or promote products derived from this software without specific prior written permission.</a:t>
          </a:r>
          <a:endParaRPr lang="en-US" sz="1000" b="1">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endParaRPr lang="en-US" sz="1000"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1000" b="1" baseline="0">
              <a:latin typeface="Arial" panose="020B0604020202020204" pitchFamily="7" charset="0"/>
              <a:cs typeface="Arial" panose="020B0604020202020204" pitchFamily="7" charset="0"/>
            </a:rPr>
            <a:t>DISCLAMER:</a:t>
          </a:r>
          <a:endParaRPr lang="en-US" sz="1000" b="1"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800" baseline="0">
              <a:latin typeface="Arial" panose="020B0604020202020204" pitchFamily="7" charset="0"/>
              <a:cs typeface="Arial" panose="020B0604020202020204" pitchFamily="7" charset="0"/>
            </a:rPr>
            <a:t>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a:t>
          </a:r>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29</xdr:row>
      <xdr:rowOff>47623</xdr:rowOff>
    </xdr:from>
    <xdr:ext cx="11229977" cy="809627"/>
    <xdr:sp>
      <xdr:nvSpPr>
        <xdr:cNvPr id="6" name="TextBox 5"/>
        <xdr:cNvSpPr txBox="1"/>
      </xdr:nvSpPr>
      <xdr:spPr>
        <a:xfrm>
          <a:off x="94615" y="5295265"/>
          <a:ext cx="11229975" cy="810260"/>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200527"/>
    <xdr:sp>
      <xdr:nvSpPr>
        <xdr:cNvPr id="7" name="TextBox 6"/>
        <xdr:cNvSpPr txBox="1"/>
      </xdr:nvSpPr>
      <xdr:spPr>
        <a:xfrm>
          <a:off x="94615" y="1132840"/>
          <a:ext cx="11229975" cy="42011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endParaRPr kumimoji="0" lang="en-US" sz="18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DESIGNS), APPLICATION OR OTHER DESIGN ADVICE, WEB TOOLS, SAFETY INFORMATION, AND OTHER RESOURCES “AS IS”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AND WITH ALL FAULTS, AND DISCLAIMS ALL WARRANTIES, EXPRESS AND IMPLIED, INCLUDING WITHOUT LIMITATION ANY</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IMPLIED WARRANTIES OF MERCHANTABILITY, FITNESS FOR A PARTICULAR PURPOSE OR NON-INFRINGEMENT OF THIRD</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PARTY INTELLECTUAL PROPERTY RIGHTS.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intended for skilled developers designing with TI products. You are solely responsible for (1) selecting the appropriate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 for your application, (2) designing, validating and testing your application, and (3) ensuring your application meets applicable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standards, and any other safety, security, regulatory or other requirements.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subject to change without notice. TI grants you permission to use these resources only for development of an</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application that uses the TI products described in the resource. Other reproduction and display of these resources is prohibited. No license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is granted to any other TI intellectual property right or to any third party intellectual property right. TI disclaims responsibility for, and you</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will fully indemnify TI and its representatives against, any claims, damages, costs, losses, and liabilities arising out of your use of these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resources.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TI’s products are provided subject to TI’s Terms of Sale or other applicable terms available either on ti.com or provided in conjunction with</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such TI products. TI’s provision of these resources does not expand or otherwise alter TI’s applicable warranties or warranty disclaimers for</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objects to and rejects any additional or different terms you may have proposed. IMPORTANT NOTICE</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Mailing Address: Texas Instruments, Post Office Box 655303, Dallas, Texas 75265</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Copyright © 2024,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7" charset="0"/>
            <a:ea typeface="+mn-ea"/>
            <a:cs typeface="Arial" panose="020B0604020202020204" pitchFamily="7" charset="0"/>
          </a:endParaRPr>
        </a:p>
      </xdr:txBody>
    </xdr:sp>
    <xdr:clientData/>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9</xdr:col>
      <xdr:colOff>505866</xdr:colOff>
      <xdr:row>199</xdr:row>
      <xdr:rowOff>166488</xdr:rowOff>
    </xdr:from>
    <xdr:to>
      <xdr:col>15</xdr:col>
      <xdr:colOff>375236</xdr:colOff>
      <xdr:row>202</xdr:row>
      <xdr:rowOff>52509</xdr:rowOff>
    </xdr:to>
    <xdr:sp>
      <xdr:nvSpPr>
        <xdr:cNvPr id="2" name="TextBox 1"/>
        <xdr:cNvSpPr txBox="1"/>
      </xdr:nvSpPr>
      <xdr:spPr>
        <a:xfrm>
          <a:off x="10039985" y="38262560"/>
          <a:ext cx="3698240"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Need to explain the placement of the Zero</a:t>
          </a:r>
          <a:r>
            <a:rPr lang="en-US" sz="1100" baseline="0"/>
            <a:t> a little bit better. The pole location should also be based on the location of the zero</a:t>
          </a:r>
          <a:endParaRPr lang="en-US" sz="1100"/>
        </a:p>
      </xdr:txBody>
    </xdr:sp>
    <xdr:clientData/>
  </xdr:twoCellAnchor>
  <xdr:twoCellAnchor>
    <xdr:from>
      <xdr:col>8</xdr:col>
      <xdr:colOff>842683</xdr:colOff>
      <xdr:row>174</xdr:row>
      <xdr:rowOff>17930</xdr:rowOff>
    </xdr:from>
    <xdr:to>
      <xdr:col>14</xdr:col>
      <xdr:colOff>475130</xdr:colOff>
      <xdr:row>184</xdr:row>
      <xdr:rowOff>98613</xdr:rowOff>
    </xdr:to>
    <xdr:sp>
      <xdr:nvSpPr>
        <xdr:cNvPr id="4" name="TextBox 3"/>
        <xdr:cNvSpPr txBox="1"/>
      </xdr:nvSpPr>
      <xdr:spPr>
        <a:xfrm>
          <a:off x="9534525" y="33351470"/>
          <a:ext cx="3703955" cy="1985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Loop</a:t>
          </a:r>
          <a:r>
            <a:rPr lang="en-US" sz="1100" baseline="0"/>
            <a:t> compensation is calculated for the minimum input voltage. This ensure stability over the input votlage range</a:t>
          </a:r>
          <a:endParaRPr 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8</xdr:col>
      <xdr:colOff>375238</xdr:colOff>
      <xdr:row>64</xdr:row>
      <xdr:rowOff>185055</xdr:rowOff>
    </xdr:from>
    <xdr:to>
      <xdr:col>16</xdr:col>
      <xdr:colOff>643009</xdr:colOff>
      <xdr:row>84</xdr:row>
      <xdr:rowOff>3117</xdr:rowOff>
    </xdr:to>
    <xdr:graphicFrame>
      <xdr:nvGraphicFramePr>
        <xdr:cNvPr id="2" name="Chart 1"/>
        <xdr:cNvGraphicFramePr/>
      </xdr:nvGraphicFramePr>
      <xdr:xfrm>
        <a:off x="5175250" y="12786360"/>
        <a:ext cx="5092700" cy="36277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14</xdr:col>
      <xdr:colOff>1051560</xdr:colOff>
      <xdr:row>49</xdr:row>
      <xdr:rowOff>45720</xdr:rowOff>
    </xdr:from>
    <xdr:to>
      <xdr:col>25</xdr:col>
      <xdr:colOff>563880</xdr:colOff>
      <xdr:row>73</xdr:row>
      <xdr:rowOff>19050</xdr:rowOff>
    </xdr:to>
    <xdr:graphicFrame>
      <xdr:nvGraphicFramePr>
        <xdr:cNvPr id="4" name="Chart 3"/>
        <xdr:cNvGraphicFramePr/>
      </xdr:nvGraphicFramePr>
      <xdr:xfrm>
        <a:off x="11138535" y="9675495"/>
        <a:ext cx="7122795" cy="45548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45</xdr:col>
      <xdr:colOff>186690</xdr:colOff>
      <xdr:row>39</xdr:row>
      <xdr:rowOff>167640</xdr:rowOff>
    </xdr:from>
    <xdr:to>
      <xdr:col>47</xdr:col>
      <xdr:colOff>515247</xdr:colOff>
      <xdr:row>45</xdr:row>
      <xdr:rowOff>69932</xdr:rowOff>
    </xdr:to>
    <xdr:pic>
      <xdr:nvPicPr>
        <xdr:cNvPr id="7" name="Picture 6"/>
        <xdr:cNvPicPr>
          <a:picLocks noChangeAspect="1"/>
        </xdr:cNvPicPr>
      </xdr:nvPicPr>
      <xdr:blipFill>
        <a:blip r:embed="rId7"/>
        <a:stretch>
          <a:fillRect/>
        </a:stretch>
      </xdr:blipFill>
      <xdr:spPr>
        <a:xfrm>
          <a:off x="30104715" y="7892415"/>
          <a:ext cx="1804670" cy="1045210"/>
        </a:xfrm>
        <a:prstGeom prst="rect">
          <a:avLst/>
        </a:prstGeom>
      </xdr:spPr>
    </xdr:pic>
    <xdr:clientData/>
  </xdr:twoCellAnchor>
  <xdr:twoCellAnchor editAs="oneCell">
    <xdr:from>
      <xdr:col>47</xdr:col>
      <xdr:colOff>247650</xdr:colOff>
      <xdr:row>40</xdr:row>
      <xdr:rowOff>60960</xdr:rowOff>
    </xdr:from>
    <xdr:to>
      <xdr:col>51</xdr:col>
      <xdr:colOff>567929</xdr:colOff>
      <xdr:row>44</xdr:row>
      <xdr:rowOff>129611</xdr:rowOff>
    </xdr:to>
    <xdr:pic>
      <xdr:nvPicPr>
        <xdr:cNvPr id="8" name="Picture 7"/>
        <xdr:cNvPicPr>
          <a:picLocks noChangeAspect="1"/>
        </xdr:cNvPicPr>
      </xdr:nvPicPr>
      <xdr:blipFill>
        <a:blip r:embed="rId8"/>
        <a:stretch>
          <a:fillRect/>
        </a:stretch>
      </xdr:blipFill>
      <xdr:spPr>
        <a:xfrm>
          <a:off x="31642050" y="7976235"/>
          <a:ext cx="2720340" cy="830580"/>
        </a:xfrm>
        <a:prstGeom prst="rect">
          <a:avLst/>
        </a:prstGeom>
      </xdr:spPr>
    </xdr:pic>
    <xdr:clientData/>
  </xdr:twoCellAnchor>
  <xdr:twoCellAnchor>
    <xdr:from>
      <xdr:col>44</xdr:col>
      <xdr:colOff>30480</xdr:colOff>
      <xdr:row>49</xdr:row>
      <xdr:rowOff>64770</xdr:rowOff>
    </xdr:from>
    <xdr:to>
      <xdr:col>55</xdr:col>
      <xdr:colOff>144780</xdr:colOff>
      <xdr:row>73</xdr:row>
      <xdr:rowOff>38100</xdr:rowOff>
    </xdr:to>
    <xdr:graphicFrame>
      <xdr:nvGraphicFramePr>
        <xdr:cNvPr id="9" name="Chart 8"/>
        <xdr:cNvGraphicFramePr/>
      </xdr:nvGraphicFramePr>
      <xdr:xfrm>
        <a:off x="29348430" y="9694545"/>
        <a:ext cx="6981825" cy="45548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7620</xdr:colOff>
      <xdr:row>21</xdr:row>
      <xdr:rowOff>121920</xdr:rowOff>
    </xdr:from>
    <xdr:to>
      <xdr:col>26</xdr:col>
      <xdr:colOff>45720</xdr:colOff>
      <xdr:row>45</xdr:row>
      <xdr:rowOff>80010</xdr:rowOff>
    </xdr:to>
    <xdr:graphicFrame>
      <xdr:nvGraphicFramePr>
        <xdr:cNvPr id="10" name="Chart 9"/>
        <xdr:cNvGraphicFramePr/>
      </xdr:nvGraphicFramePr>
      <xdr:xfrm>
        <a:off x="11199495" y="4408170"/>
        <a:ext cx="7143750" cy="453961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8325</xdr:colOff>
      <xdr:row>32</xdr:row>
      <xdr:rowOff>8964</xdr:rowOff>
    </xdr:from>
    <xdr:to>
      <xdr:col>11</xdr:col>
      <xdr:colOff>591031</xdr:colOff>
      <xdr:row>40</xdr:row>
      <xdr:rowOff>131269</xdr:rowOff>
    </xdr:to>
    <xdr:sp>
      <xdr:nvSpPr>
        <xdr:cNvPr id="11" name="TextBox 10"/>
        <xdr:cNvSpPr txBox="1"/>
      </xdr:nvSpPr>
      <xdr:spPr>
        <a:xfrm>
          <a:off x="6513830" y="6400165"/>
          <a:ext cx="2363470" cy="16459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0</xdr:colOff>
      <xdr:row>49</xdr:row>
      <xdr:rowOff>13855</xdr:rowOff>
    </xdr:from>
    <xdr:to>
      <xdr:col>12</xdr:col>
      <xdr:colOff>83127</xdr:colOff>
      <xdr:row>60</xdr:row>
      <xdr:rowOff>13855</xdr:rowOff>
    </xdr:to>
    <xdr:sp>
      <xdr:nvSpPr>
        <xdr:cNvPr id="12" name="TextBox 11"/>
        <xdr:cNvSpPr txBox="1"/>
      </xdr:nvSpPr>
      <xdr:spPr>
        <a:xfrm>
          <a:off x="6505575" y="9643110"/>
          <a:ext cx="2463800" cy="2105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error amplifier is the same regardless of the mode of operation</a:t>
          </a:r>
          <a:endParaRPr lang="en-US" sz="1100" baseline="0"/>
        </a:p>
      </xdr:txBody>
    </xdr:sp>
    <xdr:clientData/>
  </xdr:twoCellAnchor>
  <xdr:twoCellAnchor>
    <xdr:from>
      <xdr:col>31</xdr:col>
      <xdr:colOff>313764</xdr:colOff>
      <xdr:row>48</xdr:row>
      <xdr:rowOff>179295</xdr:rowOff>
    </xdr:from>
    <xdr:to>
      <xdr:col>42</xdr:col>
      <xdr:colOff>438673</xdr:colOff>
      <xdr:row>72</xdr:row>
      <xdr:rowOff>152625</xdr:rowOff>
    </xdr:to>
    <xdr:graphicFrame>
      <xdr:nvGraphicFramePr>
        <xdr:cNvPr id="14" name="Chart 13"/>
        <xdr:cNvGraphicFramePr/>
      </xdr:nvGraphicFramePr>
      <xdr:xfrm>
        <a:off x="21602065" y="9618345"/>
        <a:ext cx="6991985" cy="45548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0</xdr:colOff>
      <xdr:row>22</xdr:row>
      <xdr:rowOff>0</xdr:rowOff>
    </xdr:from>
    <xdr:to>
      <xdr:col>42</xdr:col>
      <xdr:colOff>97865</xdr:colOff>
      <xdr:row>45</xdr:row>
      <xdr:rowOff>144855</xdr:rowOff>
    </xdr:to>
    <xdr:graphicFrame>
      <xdr:nvGraphicFramePr>
        <xdr:cNvPr id="15" name="Chart 14"/>
        <xdr:cNvGraphicFramePr/>
      </xdr:nvGraphicFramePr>
      <xdr:xfrm>
        <a:off x="21288375" y="4476750"/>
        <a:ext cx="6965315" cy="453580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0</xdr:colOff>
      <xdr:row>22</xdr:row>
      <xdr:rowOff>0</xdr:rowOff>
    </xdr:from>
    <xdr:to>
      <xdr:col>55</xdr:col>
      <xdr:colOff>269688</xdr:colOff>
      <xdr:row>45</xdr:row>
      <xdr:rowOff>144855</xdr:rowOff>
    </xdr:to>
    <xdr:graphicFrame>
      <xdr:nvGraphicFramePr>
        <xdr:cNvPr id="16" name="Chart 15"/>
        <xdr:cNvGraphicFramePr/>
      </xdr:nvGraphicFramePr>
      <xdr:xfrm>
        <a:off x="29317950" y="4476750"/>
        <a:ext cx="7136765" cy="453580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2</xdr:row>
      <xdr:rowOff>0</xdr:rowOff>
    </xdr:from>
    <xdr:to>
      <xdr:col>3</xdr:col>
      <xdr:colOff>9157</xdr:colOff>
      <xdr:row>3</xdr:row>
      <xdr:rowOff>0</xdr:rowOff>
    </xdr:to>
    <xdr:graphicFrame>
      <xdr:nvGraphicFramePr>
        <xdr:cNvPr id="3" name="Chart 2"/>
        <xdr:cNvGraphicFramePr/>
      </xdr:nvGraphicFramePr>
      <xdr:xfrm>
        <a:off x="1200150" y="381000"/>
        <a:ext cx="9667240" cy="48221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50800</xdr:colOff>
      <xdr:row>1</xdr:row>
      <xdr:rowOff>610854</xdr:rowOff>
    </xdr:from>
    <xdr:to>
      <xdr:col>2</xdr:col>
      <xdr:colOff>3175</xdr:colOff>
      <xdr:row>1</xdr:row>
      <xdr:rowOff>3136990</xdr:rowOff>
    </xdr:to>
    <xdr:pic>
      <xdr:nvPicPr>
        <xdr:cNvPr id="3" name="Picture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50875" y="800735"/>
          <a:ext cx="4705350" cy="252666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ctrlProp" Target="../ctrlProps/ctrlProp1.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0000"/>
    <pageSetUpPr fitToPage="1"/>
  </sheetPr>
  <dimension ref="A1:AA102"/>
  <sheetViews>
    <sheetView tabSelected="1" zoomScale="85" zoomScaleNormal="85" topLeftCell="A50" workbookViewId="0">
      <selection activeCell="H11" sqref="H11"/>
    </sheetView>
  </sheetViews>
  <sheetFormatPr defaultColWidth="8.85714285714286" defaultRowHeight="15"/>
  <cols>
    <col min="1" max="6" width="8.85714285714286" style="170" customWidth="1"/>
    <col min="7" max="7" width="8.85714285714286" style="171" customWidth="1"/>
    <col min="8" max="8" width="12" style="170" customWidth="1"/>
    <col min="9" max="9" width="4.14285714285714" style="170" customWidth="1"/>
    <col min="10" max="10" width="4.85714285714286" style="170" customWidth="1"/>
    <col min="11" max="20" width="8.85714285714286" style="170" customWidth="1"/>
    <col min="21" max="21" width="8.85714285714286" style="168" customWidth="1"/>
    <col min="22" max="22" width="7.14285714285714" style="170" customWidth="1"/>
    <col min="23" max="26" width="8.85714285714286" style="170" customWidth="1"/>
    <col min="27" max="27" width="1.85714285714286" style="172" customWidth="1"/>
    <col min="28" max="16384" width="8.85714285714286" style="170"/>
  </cols>
  <sheetData>
    <row r="1" ht="46.7" customHeight="1" spans="1:27">
      <c r="A1" s="173"/>
      <c r="B1" s="173"/>
      <c r="C1" s="173"/>
      <c r="D1" s="173"/>
      <c r="E1" s="174" t="s">
        <v>0</v>
      </c>
      <c r="F1" s="173"/>
      <c r="G1" s="175"/>
      <c r="H1" s="173"/>
      <c r="I1" s="173"/>
      <c r="J1" s="173"/>
      <c r="K1" s="173"/>
      <c r="L1" s="173"/>
      <c r="M1" s="173"/>
      <c r="N1" s="173"/>
      <c r="O1" s="173"/>
      <c r="P1" s="173"/>
      <c r="Q1" s="173"/>
      <c r="R1" s="173"/>
      <c r="S1" s="173"/>
      <c r="T1" s="173"/>
      <c r="U1" s="176"/>
      <c r="V1" s="173"/>
      <c r="W1" s="173"/>
      <c r="X1" s="173"/>
      <c r="Y1" s="173"/>
      <c r="Z1" s="173"/>
      <c r="AA1" s="177"/>
    </row>
    <row r="2" s="168" customFormat="1" spans="1:27">
      <c r="A2" s="178"/>
      <c r="B2" s="178"/>
      <c r="C2" s="178"/>
      <c r="D2" s="178"/>
      <c r="E2" s="178"/>
      <c r="F2" s="178"/>
      <c r="G2" s="179"/>
      <c r="H2" s="178"/>
      <c r="I2" s="178"/>
      <c r="J2" s="178"/>
      <c r="K2" s="178"/>
      <c r="L2" s="178"/>
      <c r="M2" s="178"/>
      <c r="N2" s="178"/>
      <c r="O2" s="178"/>
      <c r="P2" s="178"/>
      <c r="Q2" s="178"/>
      <c r="R2" s="178"/>
      <c r="S2" s="178"/>
      <c r="T2" s="178"/>
      <c r="U2" s="178"/>
      <c r="V2" s="178"/>
      <c r="W2" s="178"/>
      <c r="X2" s="178"/>
      <c r="Y2" s="178"/>
      <c r="Z2" s="178"/>
      <c r="AA2" s="180"/>
    </row>
    <row r="3" s="168" customFormat="1" spans="1:27">
      <c r="A3" s="181" t="s">
        <v>1</v>
      </c>
      <c r="B3" s="178"/>
      <c r="C3" s="178"/>
      <c r="D3" s="178"/>
      <c r="E3" s="182"/>
      <c r="F3" s="271" t="s">
        <v>2</v>
      </c>
      <c r="G3" s="179"/>
      <c r="H3" s="178"/>
      <c r="I3" s="178"/>
      <c r="J3" s="178"/>
      <c r="K3" s="178"/>
      <c r="L3" s="178"/>
      <c r="M3" s="178"/>
      <c r="N3" s="178"/>
      <c r="O3" s="183" t="s">
        <v>3</v>
      </c>
      <c r="P3" s="178"/>
      <c r="Q3" s="178"/>
      <c r="R3" s="178"/>
      <c r="S3" s="178"/>
      <c r="T3" s="178"/>
      <c r="U3" s="178"/>
      <c r="V3" s="178"/>
      <c r="W3" s="178"/>
      <c r="X3" s="178"/>
      <c r="Y3" s="178"/>
      <c r="Z3" s="178"/>
      <c r="AA3" s="180"/>
    </row>
    <row r="4" s="169" customFormat="1" spans="1:27">
      <c r="A4" s="184"/>
      <c r="B4" s="184"/>
      <c r="C4" s="184"/>
      <c r="D4" s="184"/>
      <c r="E4" s="184"/>
      <c r="F4" s="184"/>
      <c r="G4" s="185"/>
      <c r="H4" s="184"/>
      <c r="I4" s="184"/>
      <c r="J4" s="184"/>
      <c r="K4" s="184"/>
      <c r="L4" s="184"/>
      <c r="M4" s="184"/>
      <c r="N4" s="184"/>
      <c r="O4" s="184"/>
      <c r="P4" s="184"/>
      <c r="Q4" s="184"/>
      <c r="R4" s="184"/>
      <c r="S4" s="184"/>
      <c r="T4" s="184"/>
      <c r="U4" s="184"/>
      <c r="V4" s="184"/>
      <c r="W4" s="184"/>
      <c r="X4" s="184"/>
      <c r="Y4" s="184"/>
      <c r="Z4" s="184"/>
      <c r="AA4" s="186"/>
    </row>
    <row r="5" spans="1:27">
      <c r="A5" s="187"/>
      <c r="B5" s="187"/>
      <c r="C5" s="187"/>
      <c r="D5" s="187"/>
      <c r="E5" s="187"/>
      <c r="F5" s="187"/>
      <c r="G5" s="188"/>
      <c r="H5" s="187"/>
      <c r="I5" s="187"/>
      <c r="J5" s="187"/>
      <c r="K5" s="187"/>
      <c r="L5" s="187"/>
      <c r="M5" s="187"/>
      <c r="N5" s="187"/>
      <c r="O5" s="187" t="str">
        <f>CONCATENATE("Rev ",Licenses!$B$5)</f>
        <v>Rev 1.0.0</v>
      </c>
      <c r="P5" s="189" t="s">
        <v>4</v>
      </c>
      <c r="Q5" s="187"/>
      <c r="R5" s="187"/>
      <c r="S5" s="187"/>
      <c r="T5" s="187"/>
      <c r="U5" s="190"/>
      <c r="V5" s="187"/>
      <c r="W5" s="187"/>
      <c r="X5" s="187"/>
      <c r="Y5" s="187"/>
      <c r="Z5" s="187"/>
      <c r="AA5" s="177"/>
    </row>
    <row r="6" ht="15.75" spans="1:27">
      <c r="A6" s="191" t="s">
        <v>5</v>
      </c>
      <c r="B6" s="187"/>
      <c r="C6" s="187"/>
      <c r="D6" s="187"/>
      <c r="E6" s="187"/>
      <c r="F6" s="187"/>
      <c r="G6" s="188"/>
      <c r="H6" s="187"/>
      <c r="I6" s="187"/>
      <c r="J6" s="187"/>
      <c r="K6" s="187"/>
      <c r="L6" s="187"/>
      <c r="M6" s="187"/>
      <c r="N6" s="187"/>
      <c r="O6" s="187"/>
      <c r="P6" s="187"/>
      <c r="Q6" s="187"/>
      <c r="R6" s="187"/>
      <c r="S6" s="187"/>
      <c r="T6" s="187"/>
      <c r="U6" s="190"/>
      <c r="V6" s="187"/>
      <c r="W6" s="187"/>
      <c r="X6" s="187"/>
      <c r="Y6" s="187"/>
      <c r="Z6" s="187"/>
      <c r="AA6" s="177"/>
    </row>
    <row r="7" ht="16.5" spans="1:27">
      <c r="A7" s="192"/>
      <c r="B7" s="193"/>
      <c r="C7" s="193"/>
      <c r="D7" s="193"/>
      <c r="E7" s="193"/>
      <c r="F7" s="193"/>
      <c r="G7" s="194" t="s">
        <v>6</v>
      </c>
      <c r="H7" s="195">
        <v>3</v>
      </c>
      <c r="I7" s="196" t="s">
        <v>7</v>
      </c>
      <c r="J7" s="187"/>
      <c r="K7" s="187"/>
      <c r="L7" s="187"/>
      <c r="M7" s="187"/>
      <c r="N7" s="187"/>
      <c r="O7" s="187"/>
      <c r="P7" s="187"/>
      <c r="Q7" s="187"/>
      <c r="R7" s="187"/>
      <c r="S7" s="187"/>
      <c r="T7" s="187"/>
      <c r="U7" s="190"/>
      <c r="V7" s="187"/>
      <c r="W7" s="187"/>
      <c r="X7" s="187"/>
      <c r="Y7" s="187"/>
      <c r="Z7" s="187"/>
      <c r="AA7" s="177"/>
    </row>
    <row r="8" ht="16.5" spans="1:27">
      <c r="A8" s="197"/>
      <c r="B8" s="190"/>
      <c r="C8" s="190"/>
      <c r="D8" s="190"/>
      <c r="E8" s="190"/>
      <c r="F8" s="190"/>
      <c r="G8" s="198" t="s">
        <v>8</v>
      </c>
      <c r="H8" s="199">
        <v>3.7</v>
      </c>
      <c r="I8" s="200" t="s">
        <v>7</v>
      </c>
      <c r="J8" s="187"/>
      <c r="K8" s="187"/>
      <c r="L8" s="187"/>
      <c r="M8" s="187"/>
      <c r="N8" s="187"/>
      <c r="O8" s="187"/>
      <c r="P8" s="187"/>
      <c r="Q8" s="187"/>
      <c r="R8" s="187"/>
      <c r="S8" s="187"/>
      <c r="T8" s="187"/>
      <c r="U8" s="190"/>
      <c r="V8" s="187"/>
      <c r="W8" s="187"/>
      <c r="X8" s="187"/>
      <c r="Y8" s="187"/>
      <c r="Z8" s="187"/>
      <c r="AA8" s="177"/>
    </row>
    <row r="9" ht="16.5" spans="1:27">
      <c r="A9" s="197"/>
      <c r="B9" s="190"/>
      <c r="C9" s="190"/>
      <c r="D9" s="190"/>
      <c r="E9" s="190"/>
      <c r="F9" s="190"/>
      <c r="G9" s="198" t="s">
        <v>9</v>
      </c>
      <c r="H9" s="199">
        <v>9</v>
      </c>
      <c r="I9" s="200" t="s">
        <v>7</v>
      </c>
      <c r="J9" s="187"/>
      <c r="K9" s="187"/>
      <c r="L9" s="187"/>
      <c r="M9" s="187"/>
      <c r="N9" s="187"/>
      <c r="O9" s="187"/>
      <c r="P9" s="187"/>
      <c r="Q9" s="187"/>
      <c r="R9" s="187"/>
      <c r="S9" s="187"/>
      <c r="T9" s="187"/>
      <c r="U9" s="190"/>
      <c r="V9" s="187"/>
      <c r="W9" s="187"/>
      <c r="X9" s="187"/>
      <c r="Y9" s="187"/>
      <c r="Z9" s="187"/>
      <c r="AA9" s="177"/>
    </row>
    <row r="10" ht="16.5" spans="1:27">
      <c r="A10" s="197"/>
      <c r="B10" s="190"/>
      <c r="C10" s="190"/>
      <c r="D10" s="190"/>
      <c r="E10" s="190"/>
      <c r="F10" s="190"/>
      <c r="G10" s="198" t="s">
        <v>10</v>
      </c>
      <c r="H10" s="199">
        <v>10</v>
      </c>
      <c r="I10" s="200" t="s">
        <v>7</v>
      </c>
      <c r="J10" s="187"/>
      <c r="K10" s="187"/>
      <c r="L10" s="187"/>
      <c r="M10" s="187"/>
      <c r="N10" s="187"/>
      <c r="O10" s="187"/>
      <c r="P10" s="187"/>
      <c r="Q10" s="187"/>
      <c r="R10" s="187"/>
      <c r="S10" s="187"/>
      <c r="T10" s="187"/>
      <c r="U10" s="190"/>
      <c r="V10" s="187"/>
      <c r="W10" s="187"/>
      <c r="X10" s="187"/>
      <c r="Y10" s="187"/>
      <c r="Z10" s="187"/>
      <c r="AA10" s="177"/>
    </row>
    <row r="11" ht="16.5" spans="1:27">
      <c r="A11" s="197"/>
      <c r="B11" s="190"/>
      <c r="C11" s="190"/>
      <c r="D11" s="190"/>
      <c r="E11" s="190"/>
      <c r="F11" s="190"/>
      <c r="G11" s="198" t="s">
        <v>11</v>
      </c>
      <c r="H11" s="199">
        <v>2</v>
      </c>
      <c r="I11" s="200" t="s">
        <v>12</v>
      </c>
      <c r="J11" s="187"/>
      <c r="K11" s="187"/>
      <c r="L11" s="187"/>
      <c r="M11" s="187"/>
      <c r="N11" s="187"/>
      <c r="O11" s="187"/>
      <c r="P11" s="187"/>
      <c r="Q11" s="187"/>
      <c r="R11" s="187"/>
      <c r="S11" s="187"/>
      <c r="T11" s="187"/>
      <c r="U11" s="190"/>
      <c r="V11" s="187"/>
      <c r="W11" s="187"/>
      <c r="X11" s="187"/>
      <c r="Y11" s="187"/>
      <c r="Z11" s="187"/>
      <c r="AA11" s="177"/>
    </row>
    <row r="12" ht="16.5" spans="1:27">
      <c r="A12" s="197"/>
      <c r="B12" s="190"/>
      <c r="C12" s="190"/>
      <c r="D12" s="190"/>
      <c r="E12" s="190"/>
      <c r="F12" s="190"/>
      <c r="G12" s="198" t="s">
        <v>13</v>
      </c>
      <c r="H12" s="199">
        <v>750</v>
      </c>
      <c r="I12" s="200" t="s">
        <v>14</v>
      </c>
      <c r="J12" s="187"/>
      <c r="K12" s="187"/>
      <c r="L12" s="187"/>
      <c r="M12" s="187"/>
      <c r="N12" s="187"/>
      <c r="O12" s="187"/>
      <c r="P12" s="187"/>
      <c r="Q12" s="187"/>
      <c r="R12" s="187"/>
      <c r="S12" s="187"/>
      <c r="T12" s="187"/>
      <c r="U12" s="190"/>
      <c r="V12" s="187"/>
      <c r="W12" s="187"/>
      <c r="X12" s="187"/>
      <c r="Y12" s="187"/>
      <c r="Z12" s="187"/>
      <c r="AA12" s="177"/>
    </row>
    <row r="13" ht="16.5" spans="1:27">
      <c r="A13" s="197"/>
      <c r="B13" s="190"/>
      <c r="C13" s="190"/>
      <c r="D13" s="190"/>
      <c r="E13" s="190"/>
      <c r="F13" s="190"/>
      <c r="G13" s="198" t="s">
        <v>15</v>
      </c>
      <c r="H13" s="201">
        <f>RT/1000</f>
        <v>17.8206998315757</v>
      </c>
      <c r="I13" s="200" t="s">
        <v>16</v>
      </c>
      <c r="J13" s="187"/>
      <c r="K13" s="187"/>
      <c r="L13" s="187"/>
      <c r="M13" s="187"/>
      <c r="N13" s="187"/>
      <c r="O13" s="187"/>
      <c r="P13" s="187"/>
      <c r="Q13" s="187"/>
      <c r="R13" s="187"/>
      <c r="S13" s="187"/>
      <c r="T13" s="187"/>
      <c r="U13" s="190"/>
      <c r="V13" s="187"/>
      <c r="W13" s="187"/>
      <c r="X13" s="187"/>
      <c r="Y13" s="187"/>
      <c r="Z13" s="187"/>
      <c r="AA13" s="177"/>
    </row>
    <row r="14" ht="16.5" spans="1:27">
      <c r="A14" s="197"/>
      <c r="B14" s="190"/>
      <c r="C14" s="190"/>
      <c r="D14" s="190"/>
      <c r="E14" s="190"/>
      <c r="F14" s="190"/>
      <c r="G14" s="198" t="s">
        <v>17</v>
      </c>
      <c r="H14" s="202">
        <f>POUT</f>
        <v>20</v>
      </c>
      <c r="I14" s="200" t="s">
        <v>18</v>
      </c>
      <c r="J14" s="187"/>
      <c r="K14" s="187"/>
      <c r="L14" s="187"/>
      <c r="M14" s="187"/>
      <c r="N14" s="187"/>
      <c r="O14" s="187"/>
      <c r="P14" s="187"/>
      <c r="Q14" s="187"/>
      <c r="R14" s="187"/>
      <c r="S14" s="187"/>
      <c r="T14" s="187"/>
      <c r="U14" s="190"/>
      <c r="V14" s="187"/>
      <c r="W14" s="187"/>
      <c r="X14" s="187"/>
      <c r="Y14" s="187"/>
      <c r="Z14" s="187"/>
      <c r="AA14" s="177"/>
    </row>
    <row r="15" ht="16.5" spans="1:27">
      <c r="A15" s="203"/>
      <c r="B15" s="204"/>
      <c r="C15" s="204"/>
      <c r="D15" s="204"/>
      <c r="E15" s="204"/>
      <c r="F15" s="190"/>
      <c r="G15" s="205" t="s">
        <v>19</v>
      </c>
      <c r="H15" s="206">
        <f>Dc_max_IC*100</f>
        <v>97</v>
      </c>
      <c r="I15" s="200" t="s">
        <v>20</v>
      </c>
      <c r="J15" s="187"/>
      <c r="K15" s="187"/>
      <c r="L15" s="187"/>
      <c r="M15" s="187"/>
      <c r="N15" s="187"/>
      <c r="O15" s="187"/>
      <c r="P15" s="187"/>
      <c r="Q15" s="187"/>
      <c r="R15" s="187"/>
      <c r="S15" s="187"/>
      <c r="T15" s="187"/>
      <c r="U15" s="190"/>
      <c r="V15" s="187"/>
      <c r="W15" s="187"/>
      <c r="X15" s="187"/>
      <c r="Y15" s="187"/>
      <c r="Z15" s="187"/>
      <c r="AA15" s="177"/>
    </row>
    <row r="16" ht="17.25" spans="1:27">
      <c r="A16" s="207"/>
      <c r="B16" s="208"/>
      <c r="C16" s="208"/>
      <c r="D16" s="208"/>
      <c r="E16" s="208"/>
      <c r="F16" s="209"/>
      <c r="G16" s="210" t="s">
        <v>21</v>
      </c>
      <c r="H16" s="211">
        <f>Variable_Management!B19*100</f>
        <v>76.9230769230769</v>
      </c>
      <c r="I16" s="212" t="s">
        <v>20</v>
      </c>
      <c r="J16" s="187"/>
      <c r="K16" s="187"/>
      <c r="L16" s="187"/>
      <c r="M16" s="187"/>
      <c r="N16" s="187"/>
      <c r="O16" s="187"/>
      <c r="P16" s="187"/>
      <c r="Q16" s="187"/>
      <c r="R16" s="187"/>
      <c r="S16" s="187"/>
      <c r="T16" s="187"/>
      <c r="U16" s="190"/>
      <c r="V16" s="187"/>
      <c r="W16" s="187"/>
      <c r="X16" s="187"/>
      <c r="Y16" s="187"/>
      <c r="Z16" s="187"/>
      <c r="AA16" s="177"/>
    </row>
    <row r="17" spans="1:27">
      <c r="A17" s="204"/>
      <c r="B17" s="213"/>
      <c r="C17" s="213"/>
      <c r="D17" s="213"/>
      <c r="E17" s="204"/>
      <c r="F17" s="187"/>
      <c r="G17" s="188"/>
      <c r="H17" s="187"/>
      <c r="I17" s="187"/>
      <c r="J17" s="187"/>
      <c r="K17" s="187"/>
      <c r="L17" s="187"/>
      <c r="M17" s="187"/>
      <c r="N17" s="187"/>
      <c r="O17" s="187"/>
      <c r="P17" s="187"/>
      <c r="Q17" s="187"/>
      <c r="R17" s="187"/>
      <c r="S17" s="187"/>
      <c r="T17" s="187"/>
      <c r="U17" s="190"/>
      <c r="V17" s="187"/>
      <c r="W17" s="187"/>
      <c r="X17" s="187"/>
      <c r="Y17" s="187"/>
      <c r="Z17" s="187"/>
      <c r="AA17" s="177"/>
    </row>
    <row r="18" ht="15.75" spans="1:27">
      <c r="A18" s="214" t="s">
        <v>22</v>
      </c>
      <c r="B18" s="213"/>
      <c r="C18" s="213"/>
      <c r="D18" s="213"/>
      <c r="E18" s="204"/>
      <c r="F18" s="187"/>
      <c r="G18" s="188"/>
      <c r="H18" s="187"/>
      <c r="I18" s="187"/>
      <c r="J18" s="187"/>
      <c r="K18" s="187"/>
      <c r="L18" s="187"/>
      <c r="M18" s="187"/>
      <c r="N18" s="187"/>
      <c r="O18" s="187"/>
      <c r="P18" s="187"/>
      <c r="Q18" s="187"/>
      <c r="R18" s="187"/>
      <c r="S18" s="187"/>
      <c r="T18" s="187"/>
      <c r="U18" s="190"/>
      <c r="V18" s="187"/>
      <c r="W18" s="187"/>
      <c r="X18" s="187"/>
      <c r="Y18" s="187"/>
      <c r="Z18" s="187"/>
      <c r="AA18" s="177"/>
    </row>
    <row r="19" spans="1:27">
      <c r="A19" s="215"/>
      <c r="B19" s="216"/>
      <c r="C19" s="216"/>
      <c r="D19" s="216"/>
      <c r="E19" s="216"/>
      <c r="F19" s="193"/>
      <c r="G19" s="217" t="s">
        <v>23</v>
      </c>
      <c r="H19" s="218" t="str">
        <f>IF(Variable_Management!B21=0,"CCM","DCM")</f>
        <v>CCM</v>
      </c>
      <c r="I19" s="196"/>
      <c r="J19" s="187"/>
      <c r="K19" s="187"/>
      <c r="L19" s="187"/>
      <c r="M19" s="187"/>
      <c r="N19" s="187"/>
      <c r="O19" s="187"/>
      <c r="P19" s="187"/>
      <c r="Q19" s="187"/>
      <c r="R19" s="187"/>
      <c r="S19" s="187"/>
      <c r="T19" s="187"/>
      <c r="U19" s="190"/>
      <c r="V19" s="187"/>
      <c r="W19" s="187"/>
      <c r="X19" s="187"/>
      <c r="Y19" s="187"/>
      <c r="Z19" s="187"/>
      <c r="AA19" s="177"/>
    </row>
    <row r="20" ht="16.5" spans="1:27">
      <c r="A20" s="203"/>
      <c r="B20" s="204"/>
      <c r="C20" s="204"/>
      <c r="D20" s="204"/>
      <c r="E20" s="204"/>
      <c r="F20" s="190"/>
      <c r="G20" s="198" t="s">
        <v>24</v>
      </c>
      <c r="H20" s="199">
        <v>60</v>
      </c>
      <c r="I20" s="200" t="s">
        <v>20</v>
      </c>
      <c r="J20" s="187"/>
      <c r="K20" s="187"/>
      <c r="L20" s="187"/>
      <c r="M20" s="187"/>
      <c r="N20" s="187"/>
      <c r="O20" s="187"/>
      <c r="P20" s="187"/>
      <c r="Q20" s="187"/>
      <c r="R20" s="187"/>
      <c r="S20" s="187"/>
      <c r="T20" s="187"/>
      <c r="U20" s="190"/>
      <c r="V20" s="187"/>
      <c r="W20" s="187"/>
      <c r="X20" s="187"/>
      <c r="Y20" s="187"/>
      <c r="Z20" s="187"/>
      <c r="AA20" s="177"/>
    </row>
    <row r="21" ht="16.5" spans="1:27">
      <c r="A21" s="197"/>
      <c r="B21" s="190"/>
      <c r="C21" s="190"/>
      <c r="D21" s="190"/>
      <c r="E21" s="190"/>
      <c r="F21" s="190"/>
      <c r="G21" s="198" t="s">
        <v>25</v>
      </c>
      <c r="H21" s="219">
        <f>Variable_Management!B38*10^6</f>
        <v>0.5551500405515</v>
      </c>
      <c r="I21" s="200" t="s">
        <v>26</v>
      </c>
      <c r="J21" s="187"/>
      <c r="K21" s="187"/>
      <c r="L21" s="187"/>
      <c r="M21" s="187"/>
      <c r="N21" s="187"/>
      <c r="O21" s="187"/>
      <c r="P21" s="187"/>
      <c r="Q21" s="187"/>
      <c r="R21" s="187"/>
      <c r="S21" s="187"/>
      <c r="T21" s="187"/>
      <c r="U21" s="190"/>
      <c r="V21" s="187"/>
      <c r="W21" s="187"/>
      <c r="X21" s="187"/>
      <c r="Y21" s="187"/>
      <c r="Z21" s="187"/>
      <c r="AA21" s="177"/>
    </row>
    <row r="22" ht="16.5" spans="1:27">
      <c r="A22" s="197"/>
      <c r="B22" s="190"/>
      <c r="C22" s="190"/>
      <c r="D22" s="190"/>
      <c r="E22" s="190"/>
      <c r="F22" s="190"/>
      <c r="G22" s="198" t="s">
        <v>27</v>
      </c>
      <c r="H22" s="199">
        <v>10</v>
      </c>
      <c r="I22" s="200" t="s">
        <v>26</v>
      </c>
      <c r="J22" s="187"/>
      <c r="K22" s="187"/>
      <c r="L22" s="187"/>
      <c r="M22" s="187"/>
      <c r="N22" s="187"/>
      <c r="O22" s="187"/>
      <c r="P22" s="187"/>
      <c r="Q22" s="187"/>
      <c r="R22" s="187"/>
      <c r="S22" s="187"/>
      <c r="T22" s="187"/>
      <c r="U22" s="190"/>
      <c r="V22" s="187"/>
      <c r="W22" s="187"/>
      <c r="X22" s="187"/>
      <c r="Y22" s="187"/>
      <c r="Z22" s="187"/>
      <c r="AA22" s="177"/>
    </row>
    <row r="23" ht="17.25" spans="1:27">
      <c r="A23" s="220"/>
      <c r="B23" s="209"/>
      <c r="C23" s="209"/>
      <c r="D23" s="209"/>
      <c r="E23" s="209"/>
      <c r="F23" s="209"/>
      <c r="G23" s="221" t="s">
        <v>28</v>
      </c>
      <c r="H23" s="222">
        <f>ISW_peak_VIN_min</f>
        <v>8.97435897435898</v>
      </c>
      <c r="I23" s="212" t="s">
        <v>12</v>
      </c>
      <c r="J23" s="187"/>
      <c r="K23" s="187"/>
      <c r="L23" s="187"/>
      <c r="M23" s="187"/>
      <c r="N23" s="187"/>
      <c r="O23" s="187"/>
      <c r="P23" s="187"/>
      <c r="Q23" s="187"/>
      <c r="R23" s="187"/>
      <c r="S23" s="187"/>
      <c r="T23" s="187"/>
      <c r="U23" s="190"/>
      <c r="V23" s="187"/>
      <c r="W23" s="187"/>
      <c r="X23" s="187"/>
      <c r="Y23" s="187"/>
      <c r="Z23" s="187"/>
      <c r="AA23" s="177"/>
    </row>
    <row r="24" spans="1:27">
      <c r="A24" s="187"/>
      <c r="B24" s="187"/>
      <c r="C24" s="187"/>
      <c r="D24" s="187"/>
      <c r="E24" s="187"/>
      <c r="F24" s="187"/>
      <c r="G24" s="188"/>
      <c r="H24" s="187"/>
      <c r="I24" s="187"/>
      <c r="J24" s="187"/>
      <c r="K24" s="187"/>
      <c r="L24" s="187"/>
      <c r="M24" s="187"/>
      <c r="N24" s="187"/>
      <c r="O24" s="187"/>
      <c r="P24" s="187"/>
      <c r="Q24" s="187"/>
      <c r="R24" s="187"/>
      <c r="S24" s="187"/>
      <c r="T24" s="187"/>
      <c r="U24" s="190"/>
      <c r="V24" s="187"/>
      <c r="W24" s="187"/>
      <c r="X24" s="187"/>
      <c r="Y24" s="187"/>
      <c r="Z24" s="187"/>
      <c r="AA24" s="177"/>
    </row>
    <row r="25" ht="15.75" spans="1:27">
      <c r="A25" s="214" t="s">
        <v>29</v>
      </c>
      <c r="B25" s="187"/>
      <c r="C25" s="187"/>
      <c r="D25" s="187"/>
      <c r="E25" s="187"/>
      <c r="F25" s="187"/>
      <c r="G25" s="188"/>
      <c r="H25" s="187"/>
      <c r="I25" s="187"/>
      <c r="J25" s="187"/>
      <c r="K25" s="187"/>
      <c r="L25" s="187"/>
      <c r="M25" s="187"/>
      <c r="N25" s="187"/>
      <c r="O25" s="187"/>
      <c r="P25" s="187"/>
      <c r="Q25" s="187"/>
      <c r="R25" s="187"/>
      <c r="S25" s="187"/>
      <c r="T25" s="187"/>
      <c r="U25" s="190"/>
      <c r="V25" s="187"/>
      <c r="W25" s="187"/>
      <c r="X25" s="187"/>
      <c r="Y25" s="187"/>
      <c r="Z25" s="187"/>
      <c r="AA25" s="177"/>
    </row>
    <row r="26" spans="1:27">
      <c r="A26" s="192"/>
      <c r="B26" s="193"/>
      <c r="C26" s="193"/>
      <c r="D26" s="193"/>
      <c r="E26" s="193"/>
      <c r="F26" s="193"/>
      <c r="G26" s="194" t="s">
        <v>30</v>
      </c>
      <c r="H26" s="195">
        <v>30</v>
      </c>
      <c r="I26" s="196" t="s">
        <v>20</v>
      </c>
      <c r="J26" s="187"/>
      <c r="K26" s="187"/>
      <c r="L26" s="187"/>
      <c r="M26" s="187"/>
      <c r="N26" s="187"/>
      <c r="O26" s="187"/>
      <c r="P26" s="187"/>
      <c r="Q26" s="187"/>
      <c r="R26" s="187"/>
      <c r="S26" s="187"/>
      <c r="T26" s="187"/>
      <c r="U26" s="190"/>
      <c r="V26" s="187"/>
      <c r="W26" s="187"/>
      <c r="X26" s="187"/>
      <c r="Y26" s="187"/>
      <c r="Z26" s="187"/>
      <c r="AA26" s="177"/>
    </row>
    <row r="27" ht="18.75" spans="1:27">
      <c r="A27" s="197"/>
      <c r="B27" s="190"/>
      <c r="C27" s="190"/>
      <c r="D27" s="190"/>
      <c r="E27" s="190"/>
      <c r="F27" s="190"/>
      <c r="G27" s="223" t="s">
        <v>31</v>
      </c>
      <c r="H27" s="201">
        <f>Ipk_selected</f>
        <v>11.6666666666667</v>
      </c>
      <c r="I27" s="200" t="s">
        <v>12</v>
      </c>
      <c r="J27" s="187"/>
      <c r="K27" s="187"/>
      <c r="L27" s="187"/>
      <c r="M27" s="187"/>
      <c r="N27" s="187"/>
      <c r="O27" s="187"/>
      <c r="P27" s="187"/>
      <c r="Q27" s="187"/>
      <c r="R27" s="187"/>
      <c r="S27" s="187"/>
      <c r="T27" s="187"/>
      <c r="U27" s="190"/>
      <c r="V27" s="187"/>
      <c r="W27" s="187"/>
      <c r="X27" s="187"/>
      <c r="Y27" s="187"/>
      <c r="Z27" s="187"/>
      <c r="AA27" s="177"/>
    </row>
    <row r="28" ht="18.75" spans="1:27">
      <c r="A28" s="197"/>
      <c r="B28" s="190"/>
      <c r="C28" s="190"/>
      <c r="D28" s="190"/>
      <c r="E28" s="190"/>
      <c r="F28" s="190"/>
      <c r="G28" s="223" t="s">
        <v>32</v>
      </c>
      <c r="H28" s="201">
        <f>Variable_Management!B115*1000</f>
        <v>13.3714285714286</v>
      </c>
      <c r="I28" s="200" t="s">
        <v>33</v>
      </c>
      <c r="J28" s="187"/>
      <c r="K28" s="187"/>
      <c r="L28" s="187"/>
      <c r="M28" s="187"/>
      <c r="N28" s="187"/>
      <c r="O28" s="187"/>
      <c r="P28" s="187"/>
      <c r="Q28" s="187"/>
      <c r="R28" s="187"/>
      <c r="S28" s="187"/>
      <c r="T28" s="187"/>
      <c r="U28" s="190"/>
      <c r="V28" s="187"/>
      <c r="W28" s="187"/>
      <c r="X28" s="187"/>
      <c r="Y28" s="187"/>
      <c r="Z28" s="187"/>
      <c r="AA28" s="177"/>
    </row>
    <row r="29" ht="18.75" spans="1:27">
      <c r="A29" s="197"/>
      <c r="B29" s="190"/>
      <c r="C29" s="190"/>
      <c r="D29" s="190"/>
      <c r="E29" s="190"/>
      <c r="F29" s="190"/>
      <c r="G29" s="223" t="s">
        <v>34</v>
      </c>
      <c r="H29" s="224">
        <f>Variable_Management!B116</f>
        <v>0</v>
      </c>
      <c r="I29" s="225" t="s">
        <v>35</v>
      </c>
      <c r="J29" s="187"/>
      <c r="K29" s="187"/>
      <c r="L29" s="187"/>
      <c r="M29" s="187"/>
      <c r="N29" s="187"/>
      <c r="O29" s="187"/>
      <c r="P29" s="187"/>
      <c r="Q29" s="187"/>
      <c r="R29" s="187"/>
      <c r="S29" s="187"/>
      <c r="T29" s="187"/>
      <c r="U29" s="190"/>
      <c r="V29" s="187"/>
      <c r="W29" s="187"/>
      <c r="X29" s="187"/>
      <c r="Y29" s="187"/>
      <c r="Z29" s="187"/>
      <c r="AA29" s="177"/>
    </row>
    <row r="30" ht="18.75" spans="1:27">
      <c r="A30" s="197"/>
      <c r="B30" s="190"/>
      <c r="C30" s="190"/>
      <c r="D30" s="190"/>
      <c r="E30" s="190"/>
      <c r="F30" s="190"/>
      <c r="G30" s="223" t="s">
        <v>36</v>
      </c>
      <c r="H30" s="199">
        <v>50</v>
      </c>
      <c r="I30" s="200" t="s">
        <v>33</v>
      </c>
      <c r="J30" s="187"/>
      <c r="K30" s="187"/>
      <c r="L30" s="187"/>
      <c r="M30" s="187"/>
      <c r="N30" s="187"/>
      <c r="O30" s="187"/>
      <c r="P30" s="187"/>
      <c r="Q30" s="187"/>
      <c r="R30" s="187"/>
      <c r="S30" s="187"/>
      <c r="T30" s="187"/>
      <c r="U30" s="190"/>
      <c r="V30" s="187"/>
      <c r="W30" s="187"/>
      <c r="X30" s="187"/>
      <c r="Y30" s="187"/>
      <c r="Z30" s="187"/>
      <c r="AA30" s="177"/>
    </row>
    <row r="31" ht="18.75" spans="1:27">
      <c r="A31" s="197"/>
      <c r="B31" s="190"/>
      <c r="C31" s="190"/>
      <c r="D31" s="190"/>
      <c r="E31" s="190"/>
      <c r="F31" s="190"/>
      <c r="G31" s="223" t="s">
        <v>37</v>
      </c>
      <c r="H31" s="199">
        <v>0</v>
      </c>
      <c r="I31" s="225" t="s">
        <v>35</v>
      </c>
      <c r="J31" s="187"/>
      <c r="K31" s="187"/>
      <c r="L31" s="187"/>
      <c r="M31" s="187"/>
      <c r="N31" s="187"/>
      <c r="O31" s="187"/>
      <c r="P31" s="187"/>
      <c r="Q31" s="187"/>
      <c r="R31" s="187"/>
      <c r="S31" s="187"/>
      <c r="T31" s="187"/>
      <c r="U31" s="190"/>
      <c r="V31" s="187"/>
      <c r="W31" s="187"/>
      <c r="X31" s="187"/>
      <c r="Y31" s="187"/>
      <c r="Z31" s="187"/>
      <c r="AA31" s="177"/>
    </row>
    <row r="32" ht="15.75" spans="1:27">
      <c r="A32" s="220"/>
      <c r="B32" s="209"/>
      <c r="C32" s="209"/>
      <c r="D32" s="209"/>
      <c r="E32" s="209"/>
      <c r="F32" s="209"/>
      <c r="G32" s="226" t="s">
        <v>38</v>
      </c>
      <c r="H32" s="227">
        <f>IL_pk_max</f>
        <v>3.12</v>
      </c>
      <c r="I32" s="228" t="s">
        <v>12</v>
      </c>
      <c r="J32" s="187"/>
      <c r="K32" s="187"/>
      <c r="L32" s="187"/>
      <c r="M32" s="187"/>
      <c r="N32" s="187"/>
      <c r="O32" s="187"/>
      <c r="P32" s="187"/>
      <c r="Q32" s="187"/>
      <c r="R32" s="187"/>
      <c r="S32" s="187"/>
      <c r="T32" s="187"/>
      <c r="U32" s="190"/>
      <c r="V32" s="187"/>
      <c r="W32" s="187"/>
      <c r="X32" s="187"/>
      <c r="Y32" s="187"/>
      <c r="Z32" s="187"/>
      <c r="AA32" s="177"/>
    </row>
    <row r="33" spans="1:27">
      <c r="A33" s="187"/>
      <c r="B33" s="187"/>
      <c r="C33" s="187"/>
      <c r="D33" s="187"/>
      <c r="E33" s="187"/>
      <c r="F33" s="187"/>
      <c r="G33" s="188"/>
      <c r="H33" s="187"/>
      <c r="I33" s="187"/>
      <c r="J33" s="187"/>
      <c r="K33" s="187"/>
      <c r="L33" s="187"/>
      <c r="M33" s="187"/>
      <c r="N33" s="187"/>
      <c r="O33" s="187"/>
      <c r="P33" s="187"/>
      <c r="Q33" s="187"/>
      <c r="R33" s="187"/>
      <c r="S33" s="187"/>
      <c r="T33" s="187"/>
      <c r="U33" s="190"/>
      <c r="V33" s="187"/>
      <c r="W33" s="187"/>
      <c r="X33" s="187"/>
      <c r="Y33" s="187"/>
      <c r="Z33" s="187"/>
      <c r="AA33" s="177"/>
    </row>
    <row r="34" ht="19.5" spans="1:27">
      <c r="A34" s="214" t="s">
        <v>39</v>
      </c>
      <c r="B34" s="187"/>
      <c r="C34" s="187"/>
      <c r="D34" s="187"/>
      <c r="E34" s="187"/>
      <c r="F34" s="187"/>
      <c r="G34" s="188"/>
      <c r="H34" s="187"/>
      <c r="I34" s="187"/>
      <c r="J34" s="187"/>
      <c r="K34" s="187"/>
      <c r="L34" s="187"/>
      <c r="M34" s="187"/>
      <c r="N34" s="187"/>
      <c r="O34" s="187"/>
      <c r="P34" s="187"/>
      <c r="Q34" s="187"/>
      <c r="R34" s="187"/>
      <c r="S34" s="187"/>
      <c r="T34" s="187"/>
      <c r="U34" s="190"/>
      <c r="V34" s="187"/>
      <c r="W34" s="187"/>
      <c r="X34" s="187"/>
      <c r="Y34" s="187"/>
      <c r="Z34" s="187"/>
      <c r="AA34" s="177"/>
    </row>
    <row r="35" ht="18.75" spans="1:27">
      <c r="A35" s="192"/>
      <c r="B35" s="193"/>
      <c r="C35" s="193"/>
      <c r="D35" s="193"/>
      <c r="E35" s="193"/>
      <c r="F35" s="193"/>
      <c r="G35" s="229" t="s">
        <v>40</v>
      </c>
      <c r="H35" s="230">
        <f>Cac_min*(10^6)</f>
        <v>4.55840455840456</v>
      </c>
      <c r="I35" s="196" t="s">
        <v>41</v>
      </c>
      <c r="J35" s="187"/>
      <c r="K35" s="187"/>
      <c r="L35" s="187"/>
      <c r="M35" s="187"/>
      <c r="N35" s="187"/>
      <c r="O35" s="187"/>
      <c r="P35" s="187"/>
      <c r="Q35" s="187"/>
      <c r="R35" s="187"/>
      <c r="S35" s="187"/>
      <c r="T35" s="187"/>
      <c r="U35" s="190"/>
      <c r="V35" s="187"/>
      <c r="W35" s="187"/>
      <c r="X35" s="187"/>
      <c r="Y35" s="187"/>
      <c r="Z35" s="187"/>
      <c r="AA35" s="177"/>
    </row>
    <row r="36" ht="18.75" spans="1:27">
      <c r="A36" s="197"/>
      <c r="B36" s="190"/>
      <c r="C36" s="190"/>
      <c r="D36" s="190"/>
      <c r="E36" s="190"/>
      <c r="F36" s="190"/>
      <c r="G36" s="223" t="s">
        <v>42</v>
      </c>
      <c r="H36" s="199">
        <v>10</v>
      </c>
      <c r="I36" s="200" t="s">
        <v>41</v>
      </c>
      <c r="J36" s="187"/>
      <c r="K36" s="187"/>
      <c r="L36" s="187"/>
      <c r="M36" s="187"/>
      <c r="N36" s="187"/>
      <c r="O36" s="187"/>
      <c r="P36" s="187"/>
      <c r="Q36" s="187"/>
      <c r="R36" s="187"/>
      <c r="S36" s="187"/>
      <c r="T36" s="187"/>
      <c r="U36" s="190"/>
      <c r="V36" s="187"/>
      <c r="W36" s="187"/>
      <c r="X36" s="187"/>
      <c r="Y36" s="187"/>
      <c r="Z36" s="187"/>
      <c r="AA36" s="177"/>
    </row>
    <row r="37" ht="19.5" spans="1:27">
      <c r="A37" s="220"/>
      <c r="B37" s="209"/>
      <c r="C37" s="209"/>
      <c r="D37" s="209"/>
      <c r="E37" s="209"/>
      <c r="F37" s="209"/>
      <c r="G37" s="226" t="s">
        <v>43</v>
      </c>
      <c r="H37" s="227">
        <f>Variable_Management!B134</f>
        <v>3.65148371670111</v>
      </c>
      <c r="I37" s="212" t="s">
        <v>12</v>
      </c>
      <c r="J37" s="187"/>
      <c r="K37" s="187"/>
      <c r="L37" s="187"/>
      <c r="M37" s="187"/>
      <c r="N37" s="187"/>
      <c r="O37" s="187"/>
      <c r="P37" s="187"/>
      <c r="Q37" s="187"/>
      <c r="R37" s="187"/>
      <c r="S37" s="187"/>
      <c r="T37" s="187"/>
      <c r="U37" s="190"/>
      <c r="V37" s="187"/>
      <c r="W37" s="187"/>
      <c r="X37" s="187"/>
      <c r="Y37" s="187"/>
      <c r="Z37" s="187"/>
      <c r="AA37" s="177"/>
    </row>
    <row r="38" spans="1:27">
      <c r="A38" s="187"/>
      <c r="B38" s="187"/>
      <c r="C38" s="187"/>
      <c r="D38" s="187"/>
      <c r="E38" s="187"/>
      <c r="F38" s="187"/>
      <c r="G38" s="188"/>
      <c r="H38" s="187"/>
      <c r="I38" s="187"/>
      <c r="J38" s="187"/>
      <c r="K38" s="187"/>
      <c r="L38" s="187"/>
      <c r="M38" s="187"/>
      <c r="N38" s="187"/>
      <c r="O38" s="187"/>
      <c r="P38" s="187"/>
      <c r="Q38" s="187"/>
      <c r="R38" s="187"/>
      <c r="S38" s="187"/>
      <c r="T38" s="187"/>
      <c r="U38" s="190"/>
      <c r="V38" s="187"/>
      <c r="W38" s="187"/>
      <c r="X38" s="187"/>
      <c r="Y38" s="187"/>
      <c r="Z38" s="187"/>
      <c r="AA38" s="177"/>
    </row>
    <row r="39" ht="15.75" spans="1:27">
      <c r="A39" s="214" t="s">
        <v>44</v>
      </c>
      <c r="B39" s="187"/>
      <c r="C39" s="187"/>
      <c r="D39" s="187"/>
      <c r="E39" s="187"/>
      <c r="F39" s="187"/>
      <c r="G39" s="188"/>
      <c r="H39" s="187"/>
      <c r="I39" s="187"/>
      <c r="J39" s="187"/>
      <c r="K39" s="187"/>
      <c r="L39" s="187"/>
      <c r="M39" s="187"/>
      <c r="N39" s="187"/>
      <c r="O39" s="187"/>
      <c r="P39" s="187"/>
      <c r="Q39" s="187"/>
      <c r="R39" s="187"/>
      <c r="S39" s="187"/>
      <c r="T39" s="187"/>
      <c r="U39" s="190"/>
      <c r="V39" s="187"/>
      <c r="W39" s="187"/>
      <c r="X39" s="187"/>
      <c r="Y39" s="187"/>
      <c r="Z39" s="187"/>
      <c r="AA39" s="177"/>
    </row>
    <row r="40" ht="18.75" spans="1:27">
      <c r="A40" s="192"/>
      <c r="B40" s="193"/>
      <c r="C40" s="193"/>
      <c r="D40" s="193"/>
      <c r="E40" s="193"/>
      <c r="F40" s="193"/>
      <c r="G40" s="229" t="s">
        <v>45</v>
      </c>
      <c r="H40" s="195">
        <v>500</v>
      </c>
      <c r="I40" s="196" t="s">
        <v>46</v>
      </c>
      <c r="J40" s="187"/>
      <c r="K40" s="187"/>
      <c r="L40" s="187"/>
      <c r="M40" s="187"/>
      <c r="N40" s="187"/>
      <c r="O40" s="187"/>
      <c r="P40" s="187"/>
      <c r="Q40" s="187"/>
      <c r="R40" s="187"/>
      <c r="S40" s="187"/>
      <c r="T40" s="187"/>
      <c r="U40" s="190"/>
      <c r="V40" s="187"/>
      <c r="W40" s="187"/>
      <c r="X40" s="187"/>
      <c r="Y40" s="187"/>
      <c r="Z40" s="187"/>
      <c r="AA40" s="177"/>
    </row>
    <row r="41" spans="1:27">
      <c r="A41" s="197"/>
      <c r="B41" s="190"/>
      <c r="C41" s="190"/>
      <c r="D41" s="190"/>
      <c r="E41" s="190"/>
      <c r="F41" s="190"/>
      <c r="G41" s="223" t="s">
        <v>47</v>
      </c>
      <c r="H41" s="201">
        <f>Cout_min*10^6</f>
        <v>346.666666666667</v>
      </c>
      <c r="I41" s="200" t="s">
        <v>41</v>
      </c>
      <c r="J41" s="187"/>
      <c r="K41" s="187"/>
      <c r="L41" s="187"/>
      <c r="M41" s="187"/>
      <c r="N41" s="187"/>
      <c r="O41" s="187"/>
      <c r="P41" s="187"/>
      <c r="Q41" s="187"/>
      <c r="R41" s="187"/>
      <c r="S41" s="187"/>
      <c r="T41" s="187"/>
      <c r="U41" s="190"/>
      <c r="V41" s="187"/>
      <c r="W41" s="187"/>
      <c r="X41" s="187"/>
      <c r="Y41" s="187"/>
      <c r="Z41" s="187"/>
      <c r="AA41" s="177"/>
    </row>
    <row r="42" ht="18.75" spans="1:27">
      <c r="A42" s="197"/>
      <c r="B42" s="190"/>
      <c r="C42" s="190"/>
      <c r="D42" s="190"/>
      <c r="E42" s="190"/>
      <c r="F42" s="190"/>
      <c r="G42" s="223" t="s">
        <v>48</v>
      </c>
      <c r="H42" s="201">
        <f>IRMS_COUT</f>
        <v>3.65148371670111</v>
      </c>
      <c r="I42" s="200" t="s">
        <v>12</v>
      </c>
      <c r="J42" s="187"/>
      <c r="K42" s="187"/>
      <c r="L42" s="187"/>
      <c r="M42" s="187"/>
      <c r="N42" s="187"/>
      <c r="O42" s="187"/>
      <c r="P42" s="187"/>
      <c r="Q42" s="187"/>
      <c r="R42" s="187"/>
      <c r="S42" s="187"/>
      <c r="T42" s="187"/>
      <c r="U42" s="190"/>
      <c r="V42" s="187"/>
      <c r="W42" s="187"/>
      <c r="X42" s="187"/>
      <c r="Y42" s="187"/>
      <c r="Z42" s="187"/>
      <c r="AA42" s="177"/>
    </row>
    <row r="43" ht="18.75" spans="1:27">
      <c r="A43" s="197"/>
      <c r="B43" s="190"/>
      <c r="C43" s="190"/>
      <c r="D43" s="190"/>
      <c r="E43" s="190"/>
      <c r="F43" s="190"/>
      <c r="G43" s="223" t="s">
        <v>49</v>
      </c>
      <c r="H43" s="199">
        <v>100</v>
      </c>
      <c r="I43" s="200" t="s">
        <v>41</v>
      </c>
      <c r="J43" s="187"/>
      <c r="K43" s="187"/>
      <c r="L43" s="187"/>
      <c r="M43" s="187"/>
      <c r="N43" s="187"/>
      <c r="O43" s="187"/>
      <c r="P43" s="187"/>
      <c r="Q43" s="187"/>
      <c r="R43" s="187"/>
      <c r="S43" s="187"/>
      <c r="T43" s="187"/>
      <c r="U43" s="190"/>
      <c r="V43" s="187"/>
      <c r="W43" s="187"/>
      <c r="X43" s="187"/>
      <c r="Y43" s="187"/>
      <c r="Z43" s="187"/>
      <c r="AA43" s="177"/>
    </row>
    <row r="44" ht="19.5" spans="1:27">
      <c r="A44" s="220"/>
      <c r="B44" s="209"/>
      <c r="C44" s="209"/>
      <c r="D44" s="209"/>
      <c r="E44" s="209"/>
      <c r="F44" s="209"/>
      <c r="G44" s="226" t="s">
        <v>50</v>
      </c>
      <c r="H44" s="231">
        <v>2</v>
      </c>
      <c r="I44" s="212" t="s">
        <v>33</v>
      </c>
      <c r="J44" s="187"/>
      <c r="K44" s="187"/>
      <c r="L44" s="187"/>
      <c r="M44" s="187"/>
      <c r="N44" s="187"/>
      <c r="O44" s="187"/>
      <c r="P44" s="187"/>
      <c r="Q44" s="187"/>
      <c r="R44" s="187"/>
      <c r="S44" s="187"/>
      <c r="T44" s="187"/>
      <c r="U44" s="190"/>
      <c r="V44" s="187"/>
      <c r="W44" s="187"/>
      <c r="X44" s="187"/>
      <c r="Y44" s="187"/>
      <c r="Z44" s="187"/>
      <c r="AA44" s="177"/>
    </row>
    <row r="45" spans="1:27">
      <c r="A45" s="187"/>
      <c r="B45" s="187"/>
      <c r="C45" s="187"/>
      <c r="D45" s="187"/>
      <c r="E45" s="187"/>
      <c r="F45" s="187"/>
      <c r="G45" s="188"/>
      <c r="H45" s="187"/>
      <c r="I45" s="187"/>
      <c r="J45" s="187"/>
      <c r="K45" s="187"/>
      <c r="L45" s="187"/>
      <c r="M45" s="187"/>
      <c r="N45" s="187"/>
      <c r="O45" s="187"/>
      <c r="P45" s="187"/>
      <c r="Q45" s="187"/>
      <c r="R45" s="187"/>
      <c r="S45" s="187"/>
      <c r="T45" s="187"/>
      <c r="U45" s="190"/>
      <c r="V45" s="187"/>
      <c r="W45" s="187"/>
      <c r="X45" s="187"/>
      <c r="Y45" s="187"/>
      <c r="Z45" s="187"/>
      <c r="AA45" s="177"/>
    </row>
    <row r="46" spans="1:27">
      <c r="A46" s="214"/>
      <c r="B46" s="190"/>
      <c r="C46" s="190"/>
      <c r="D46" s="190"/>
      <c r="E46" s="190"/>
      <c r="F46" s="190"/>
      <c r="G46" s="223"/>
      <c r="H46" s="190"/>
      <c r="I46" s="190"/>
      <c r="J46" s="190"/>
      <c r="K46" s="187"/>
      <c r="L46" s="187"/>
      <c r="M46" s="187"/>
      <c r="N46" s="187"/>
      <c r="O46" s="187"/>
      <c r="P46" s="187"/>
      <c r="Q46" s="187"/>
      <c r="R46" s="187"/>
      <c r="S46" s="187"/>
      <c r="T46" s="187"/>
      <c r="U46" s="190"/>
      <c r="V46" s="187"/>
      <c r="W46" s="187"/>
      <c r="X46" s="187"/>
      <c r="Y46" s="187"/>
      <c r="Z46" s="187"/>
      <c r="AA46" s="177"/>
    </row>
    <row r="47" spans="1:27">
      <c r="A47" s="190"/>
      <c r="B47" s="190"/>
      <c r="C47" s="190"/>
      <c r="D47" s="190"/>
      <c r="E47" s="190"/>
      <c r="F47" s="190"/>
      <c r="G47" s="223"/>
      <c r="H47" s="232"/>
      <c r="I47" s="190"/>
      <c r="J47" s="190"/>
      <c r="K47" s="187"/>
      <c r="L47" s="187"/>
      <c r="M47" s="187"/>
      <c r="N47" s="187"/>
      <c r="O47" s="187"/>
      <c r="P47" s="187"/>
      <c r="Q47" s="187"/>
      <c r="R47" s="187"/>
      <c r="S47" s="187"/>
      <c r="T47" s="187"/>
      <c r="U47" s="190"/>
      <c r="V47" s="187"/>
      <c r="W47" s="187"/>
      <c r="X47" s="187"/>
      <c r="Y47" s="187"/>
      <c r="Z47" s="187"/>
      <c r="AA47" s="177"/>
    </row>
    <row r="48" spans="1:27">
      <c r="A48" s="190"/>
      <c r="B48" s="190"/>
      <c r="C48" s="190"/>
      <c r="D48" s="190"/>
      <c r="E48" s="190"/>
      <c r="F48" s="190"/>
      <c r="G48" s="223"/>
      <c r="H48" s="190"/>
      <c r="I48" s="190"/>
      <c r="J48" s="190"/>
      <c r="K48" s="187"/>
      <c r="L48" s="187"/>
      <c r="M48" s="187"/>
      <c r="N48" s="187"/>
      <c r="O48" s="187"/>
      <c r="P48" s="187"/>
      <c r="Q48" s="187"/>
      <c r="R48" s="187"/>
      <c r="S48" s="187"/>
      <c r="T48" s="187"/>
      <c r="U48" s="190"/>
      <c r="V48" s="187"/>
      <c r="W48" s="187"/>
      <c r="X48" s="187"/>
      <c r="Y48" s="187"/>
      <c r="Z48" s="187"/>
      <c r="AA48" s="177"/>
    </row>
    <row r="49" spans="1:27">
      <c r="A49" s="190"/>
      <c r="B49" s="190"/>
      <c r="C49" s="190"/>
      <c r="D49" s="190"/>
      <c r="E49" s="190"/>
      <c r="F49" s="190"/>
      <c r="G49" s="223"/>
      <c r="H49" s="233"/>
      <c r="I49" s="190"/>
      <c r="J49" s="190"/>
      <c r="K49" s="187"/>
      <c r="L49" s="187"/>
      <c r="M49" s="187"/>
      <c r="N49" s="187"/>
      <c r="O49" s="187"/>
      <c r="P49" s="187"/>
      <c r="Q49" s="187"/>
      <c r="R49" s="187"/>
      <c r="S49" s="187"/>
      <c r="T49" s="187"/>
      <c r="U49" s="190"/>
      <c r="V49" s="187"/>
      <c r="W49" s="187"/>
      <c r="X49" s="187"/>
      <c r="Y49" s="187"/>
      <c r="Z49" s="187"/>
      <c r="AA49" s="177"/>
    </row>
    <row r="50" spans="1:27">
      <c r="A50" s="190"/>
      <c r="B50" s="190"/>
      <c r="C50" s="190"/>
      <c r="D50" s="190"/>
      <c r="E50" s="190"/>
      <c r="F50" s="190"/>
      <c r="G50" s="223"/>
      <c r="H50" s="190"/>
      <c r="I50" s="190"/>
      <c r="J50" s="187"/>
      <c r="K50" s="187"/>
      <c r="L50" s="187"/>
      <c r="M50" s="187"/>
      <c r="N50" s="187"/>
      <c r="O50" s="187"/>
      <c r="P50" s="187"/>
      <c r="Q50" s="187"/>
      <c r="R50" s="187"/>
      <c r="S50" s="187"/>
      <c r="T50" s="187"/>
      <c r="U50" s="190"/>
      <c r="V50" s="187"/>
      <c r="W50" s="187"/>
      <c r="X50" s="187"/>
      <c r="Y50" s="187"/>
      <c r="Z50" s="187"/>
      <c r="AA50" s="177"/>
    </row>
    <row r="51" spans="1:27">
      <c r="A51" s="214"/>
      <c r="B51" s="190"/>
      <c r="C51" s="190"/>
      <c r="D51" s="190"/>
      <c r="E51" s="190"/>
      <c r="F51" s="190"/>
      <c r="G51" s="223"/>
      <c r="H51" s="190"/>
      <c r="I51" s="190"/>
      <c r="J51" s="187"/>
      <c r="K51" s="187"/>
      <c r="L51" s="187"/>
      <c r="M51" s="187"/>
      <c r="N51" s="187"/>
      <c r="O51" s="187"/>
      <c r="P51" s="187"/>
      <c r="Q51" s="187"/>
      <c r="R51" s="187"/>
      <c r="S51" s="187"/>
      <c r="T51" s="187"/>
      <c r="U51" s="190"/>
      <c r="V51" s="187"/>
      <c r="W51" s="187"/>
      <c r="X51" s="187"/>
      <c r="Y51" s="187"/>
      <c r="Z51" s="187"/>
      <c r="AA51" s="177"/>
    </row>
    <row r="52" spans="1:27">
      <c r="A52" s="190"/>
      <c r="B52" s="190"/>
      <c r="C52" s="190"/>
      <c r="D52" s="190"/>
      <c r="E52" s="190"/>
      <c r="F52" s="190"/>
      <c r="G52" s="223"/>
      <c r="H52" s="190"/>
      <c r="I52" s="190"/>
      <c r="J52" s="187"/>
      <c r="K52" s="187"/>
      <c r="L52" s="187"/>
      <c r="M52" s="187"/>
      <c r="N52" s="187"/>
      <c r="O52" s="187"/>
      <c r="P52" s="187"/>
      <c r="Q52" s="187"/>
      <c r="R52" s="187"/>
      <c r="S52" s="187"/>
      <c r="T52" s="187"/>
      <c r="U52" s="190"/>
      <c r="V52" s="187"/>
      <c r="W52" s="187"/>
      <c r="X52" s="187"/>
      <c r="Y52" s="187"/>
      <c r="Z52" s="187"/>
      <c r="AA52" s="177"/>
    </row>
    <row r="53" spans="1:27">
      <c r="A53" s="190"/>
      <c r="B53" s="190"/>
      <c r="C53" s="190"/>
      <c r="D53" s="190"/>
      <c r="E53" s="190"/>
      <c r="F53" s="190"/>
      <c r="G53" s="223"/>
      <c r="H53" s="190"/>
      <c r="I53" s="190"/>
      <c r="J53" s="187"/>
      <c r="K53" s="187"/>
      <c r="L53" s="187"/>
      <c r="M53" s="187"/>
      <c r="N53" s="187"/>
      <c r="O53" s="187"/>
      <c r="P53" s="187"/>
      <c r="Q53" s="234">
        <f>VIN_min</f>
        <v>3</v>
      </c>
      <c r="R53" s="187"/>
      <c r="S53" s="187"/>
      <c r="T53" s="187"/>
      <c r="U53" s="190"/>
      <c r="V53" s="187"/>
      <c r="W53" s="187"/>
      <c r="X53" s="187"/>
      <c r="Y53" s="187"/>
      <c r="Z53" s="187"/>
      <c r="AA53" s="177"/>
    </row>
    <row r="54" spans="1:27">
      <c r="A54" s="190"/>
      <c r="B54" s="190"/>
      <c r="C54" s="190"/>
      <c r="D54" s="190"/>
      <c r="E54" s="190"/>
      <c r="F54" s="190"/>
      <c r="G54" s="223"/>
      <c r="H54" s="232"/>
      <c r="I54" s="235"/>
      <c r="J54" s="187"/>
      <c r="K54" s="187"/>
      <c r="L54" s="187"/>
      <c r="M54" s="187"/>
      <c r="N54" s="187"/>
      <c r="O54" s="187"/>
      <c r="P54" s="187"/>
      <c r="Q54" s="187"/>
      <c r="R54" s="187"/>
      <c r="S54" s="187"/>
      <c r="T54" s="187"/>
      <c r="U54" s="190"/>
      <c r="V54" s="187"/>
      <c r="W54" s="187"/>
      <c r="X54" s="187"/>
      <c r="Y54" s="187"/>
      <c r="Z54" s="187"/>
      <c r="AA54" s="177"/>
    </row>
    <row r="55" spans="1:27">
      <c r="A55" s="190"/>
      <c r="B55" s="190"/>
      <c r="C55" s="190"/>
      <c r="D55" s="190"/>
      <c r="E55" s="190"/>
      <c r="F55" s="190"/>
      <c r="G55" s="223"/>
      <c r="H55" s="190"/>
      <c r="I55" s="235"/>
      <c r="J55" s="187"/>
      <c r="K55" s="187"/>
      <c r="L55" s="187"/>
      <c r="M55" s="187"/>
      <c r="N55" s="187"/>
      <c r="O55" s="187"/>
      <c r="P55" s="187"/>
      <c r="Q55" s="187"/>
      <c r="R55" s="187"/>
      <c r="S55" s="187"/>
      <c r="T55" s="187"/>
      <c r="U55" s="190"/>
      <c r="V55" s="187"/>
      <c r="W55" s="187"/>
      <c r="X55" s="187"/>
      <c r="Y55" s="187"/>
      <c r="Z55" s="187"/>
      <c r="AA55" s="177"/>
    </row>
    <row r="56" spans="1:27">
      <c r="A56" s="190"/>
      <c r="B56" s="190"/>
      <c r="C56" s="190"/>
      <c r="D56" s="190"/>
      <c r="E56" s="190"/>
      <c r="F56" s="190"/>
      <c r="G56" s="223"/>
      <c r="H56" s="236"/>
      <c r="I56" s="235"/>
      <c r="J56" s="187"/>
      <c r="K56" s="187"/>
      <c r="L56" s="187"/>
      <c r="M56" s="187"/>
      <c r="N56" s="187"/>
      <c r="O56" s="187"/>
      <c r="P56" s="187"/>
      <c r="Q56" s="187"/>
      <c r="R56" s="187"/>
      <c r="S56" s="187"/>
      <c r="T56" s="187"/>
      <c r="U56" s="190"/>
      <c r="V56" s="187"/>
      <c r="W56" s="187"/>
      <c r="X56" s="187"/>
      <c r="Y56" s="187"/>
      <c r="Z56" s="187"/>
      <c r="AA56" s="177"/>
    </row>
    <row r="57" spans="1:27">
      <c r="A57" s="190"/>
      <c r="B57" s="190"/>
      <c r="C57" s="190"/>
      <c r="D57" s="190"/>
      <c r="E57" s="190"/>
      <c r="F57" s="190"/>
      <c r="G57" s="223"/>
      <c r="H57" s="190"/>
      <c r="I57" s="190"/>
      <c r="J57" s="187"/>
      <c r="K57" s="187"/>
      <c r="L57" s="187"/>
      <c r="M57" s="187"/>
      <c r="N57" s="187"/>
      <c r="O57" s="187"/>
      <c r="P57" s="187"/>
      <c r="Q57" s="187"/>
      <c r="R57" s="187"/>
      <c r="S57" s="187"/>
      <c r="T57" s="187"/>
      <c r="U57" s="190"/>
      <c r="V57" s="187"/>
      <c r="W57" s="187"/>
      <c r="X57" s="187"/>
      <c r="Y57" s="187"/>
      <c r="Z57" s="187"/>
      <c r="AA57" s="177"/>
    </row>
    <row r="58" ht="15.75" spans="1:27">
      <c r="A58" s="214" t="s">
        <v>51</v>
      </c>
      <c r="B58" s="187"/>
      <c r="C58" s="187"/>
      <c r="D58" s="187"/>
      <c r="E58" s="187"/>
      <c r="F58" s="187"/>
      <c r="G58" s="187"/>
      <c r="H58" s="187"/>
      <c r="I58" s="187"/>
      <c r="J58" s="187"/>
      <c r="K58" s="187"/>
      <c r="L58" s="187"/>
      <c r="M58" s="187"/>
      <c r="N58" s="187"/>
      <c r="O58" s="187"/>
      <c r="P58" s="187"/>
      <c r="Q58" s="187"/>
      <c r="R58" s="187"/>
      <c r="S58" s="187"/>
      <c r="T58" s="187"/>
      <c r="U58" s="190"/>
      <c r="V58" s="187"/>
      <c r="W58" s="187"/>
      <c r="X58" s="187"/>
      <c r="Y58" s="187"/>
      <c r="Z58" s="187"/>
      <c r="AA58" s="177"/>
    </row>
    <row r="59" ht="18.75" spans="1:27">
      <c r="A59" s="215"/>
      <c r="B59" s="193"/>
      <c r="C59" s="193"/>
      <c r="D59" s="193"/>
      <c r="E59" s="193"/>
      <c r="F59" s="193"/>
      <c r="G59" s="237" t="s">
        <v>52</v>
      </c>
      <c r="H59" s="238" t="str">
        <f>VIN_var&amp;"V"</f>
        <v>4V</v>
      </c>
      <c r="I59" s="196"/>
      <c r="J59" s="187"/>
      <c r="K59" s="187"/>
      <c r="L59" s="187"/>
      <c r="M59" s="187"/>
      <c r="N59" s="187"/>
      <c r="O59" s="187"/>
      <c r="P59" s="187"/>
      <c r="Q59" s="187"/>
      <c r="R59" s="187"/>
      <c r="S59" s="187"/>
      <c r="T59" s="187"/>
      <c r="U59" s="190"/>
      <c r="V59" s="187"/>
      <c r="W59" s="187"/>
      <c r="X59" s="187"/>
      <c r="Y59" s="187"/>
      <c r="Z59" s="187"/>
      <c r="AA59" s="177"/>
    </row>
    <row r="60" spans="1:27">
      <c r="A60" s="197"/>
      <c r="B60" s="190"/>
      <c r="C60" s="190"/>
      <c r="D60" s="190"/>
      <c r="E60" s="190"/>
      <c r="F60" s="190"/>
      <c r="G60" s="190"/>
      <c r="H60" s="239"/>
      <c r="I60" s="200"/>
      <c r="J60" s="187"/>
      <c r="K60" s="187"/>
      <c r="L60" s="187"/>
      <c r="M60" s="187"/>
      <c r="N60" s="187"/>
      <c r="O60" s="187"/>
      <c r="P60" s="187"/>
      <c r="Q60" s="187"/>
      <c r="R60" s="187"/>
      <c r="S60" s="187"/>
      <c r="T60" s="187"/>
      <c r="U60" s="190"/>
      <c r="V60" s="187"/>
      <c r="W60" s="187"/>
      <c r="X60" s="187"/>
      <c r="Y60" s="187"/>
      <c r="Z60" s="187"/>
      <c r="AA60" s="177"/>
    </row>
    <row r="61" spans="1:27">
      <c r="A61" s="240"/>
      <c r="B61" s="190"/>
      <c r="C61" s="190"/>
      <c r="D61" s="190"/>
      <c r="E61" s="190"/>
      <c r="F61" s="190"/>
      <c r="G61" s="241" t="s">
        <v>53</v>
      </c>
      <c r="H61" s="202"/>
      <c r="I61" s="200"/>
      <c r="J61" s="187"/>
      <c r="K61" s="187"/>
      <c r="L61" s="187"/>
      <c r="M61" s="187"/>
      <c r="N61" s="187"/>
      <c r="O61" s="187"/>
      <c r="P61" s="187"/>
      <c r="Q61" s="187"/>
      <c r="R61" s="187"/>
      <c r="S61" s="187"/>
      <c r="T61" s="187"/>
      <c r="U61" s="190"/>
      <c r="V61" s="187"/>
      <c r="W61" s="187"/>
      <c r="X61" s="187"/>
      <c r="Y61" s="187"/>
      <c r="Z61" s="187"/>
      <c r="AA61" s="177"/>
    </row>
    <row r="62" ht="18.75" spans="1:27">
      <c r="A62" s="240"/>
      <c r="B62" s="190"/>
      <c r="C62" s="190"/>
      <c r="D62" s="190"/>
      <c r="E62" s="190"/>
      <c r="F62" s="190"/>
      <c r="G62" s="223" t="s">
        <v>54</v>
      </c>
      <c r="H62" s="199">
        <v>15</v>
      </c>
      <c r="I62" s="225" t="s">
        <v>55</v>
      </c>
      <c r="J62" s="187"/>
      <c r="K62" s="187"/>
      <c r="L62" s="187"/>
      <c r="M62" s="187"/>
      <c r="N62" s="187"/>
      <c r="O62" s="187"/>
      <c r="P62" s="187"/>
      <c r="Q62" s="187"/>
      <c r="R62" s="187"/>
      <c r="S62" s="187"/>
      <c r="T62" s="187"/>
      <c r="U62" s="190"/>
      <c r="V62" s="187"/>
      <c r="W62" s="187"/>
      <c r="X62" s="187"/>
      <c r="Y62" s="187"/>
      <c r="Z62" s="187"/>
      <c r="AA62" s="177"/>
    </row>
    <row r="63" ht="18.75" spans="1:27">
      <c r="A63" s="240"/>
      <c r="B63" s="190"/>
      <c r="C63" s="190"/>
      <c r="D63" s="190"/>
      <c r="E63" s="190"/>
      <c r="F63" s="190"/>
      <c r="G63" s="223" t="s">
        <v>56</v>
      </c>
      <c r="H63" s="219">
        <f>RFBB_calc/1000</f>
        <v>2.16247139588101</v>
      </c>
      <c r="I63" s="225" t="s">
        <v>55</v>
      </c>
      <c r="J63" s="187"/>
      <c r="K63" s="187"/>
      <c r="L63" s="187"/>
      <c r="M63" s="187"/>
      <c r="N63" s="187"/>
      <c r="O63" s="187"/>
      <c r="P63" s="187"/>
      <c r="Q63" s="187"/>
      <c r="R63" s="187"/>
      <c r="S63" s="187"/>
      <c r="T63" s="187"/>
      <c r="U63" s="190"/>
      <c r="V63" s="187"/>
      <c r="W63" s="187"/>
      <c r="X63" s="187"/>
      <c r="Y63" s="187"/>
      <c r="Z63" s="187"/>
      <c r="AA63" s="177"/>
    </row>
    <row r="64" ht="18.75" spans="1:27">
      <c r="A64" s="240"/>
      <c r="B64" s="190"/>
      <c r="C64" s="190"/>
      <c r="D64" s="190"/>
      <c r="E64" s="190"/>
      <c r="F64" s="190"/>
      <c r="G64" s="223" t="s">
        <v>57</v>
      </c>
      <c r="H64" s="199">
        <v>11</v>
      </c>
      <c r="I64" s="225" t="s">
        <v>55</v>
      </c>
      <c r="J64" s="187"/>
      <c r="K64" s="187"/>
      <c r="L64" s="187"/>
      <c r="M64" s="187"/>
      <c r="N64" s="187"/>
      <c r="O64" s="187"/>
      <c r="P64" s="187"/>
      <c r="Q64" s="187"/>
      <c r="R64" s="187"/>
      <c r="S64" s="187"/>
      <c r="T64" s="187"/>
      <c r="U64" s="190"/>
      <c r="V64" s="187"/>
      <c r="W64" s="187"/>
      <c r="X64" s="187"/>
      <c r="Y64" s="187"/>
      <c r="Z64" s="187"/>
      <c r="AA64" s="177"/>
    </row>
    <row r="65" spans="1:27">
      <c r="A65" s="197"/>
      <c r="B65" s="190"/>
      <c r="C65" s="190"/>
      <c r="D65" s="190"/>
      <c r="E65" s="190"/>
      <c r="F65" s="190"/>
      <c r="G65" s="223"/>
      <c r="H65" s="202"/>
      <c r="I65" s="200"/>
      <c r="J65" s="187"/>
      <c r="K65" s="187"/>
      <c r="L65" s="187"/>
      <c r="M65" s="187"/>
      <c r="N65" s="187"/>
      <c r="O65" s="187"/>
      <c r="P65" s="187"/>
      <c r="Q65" s="187"/>
      <c r="R65" s="187"/>
      <c r="S65" s="187"/>
      <c r="T65" s="187"/>
      <c r="U65" s="190"/>
      <c r="V65" s="187"/>
      <c r="W65" s="187"/>
      <c r="X65" s="187"/>
      <c r="Y65" s="187"/>
      <c r="Z65" s="187"/>
      <c r="AA65" s="177"/>
    </row>
    <row r="66" spans="1:27">
      <c r="A66" s="197"/>
      <c r="B66" s="190"/>
      <c r="C66" s="190"/>
      <c r="D66" s="190"/>
      <c r="E66" s="190"/>
      <c r="F66" s="190"/>
      <c r="G66" s="223"/>
      <c r="H66" s="202"/>
      <c r="I66" s="200"/>
      <c r="J66" s="187"/>
      <c r="K66" s="187"/>
      <c r="L66" s="187"/>
      <c r="M66" s="187"/>
      <c r="N66" s="187"/>
      <c r="O66" s="187"/>
      <c r="P66" s="187"/>
      <c r="Q66" s="187"/>
      <c r="R66" s="187"/>
      <c r="S66" s="187"/>
      <c r="T66" s="187"/>
      <c r="U66" s="190"/>
      <c r="V66" s="187"/>
      <c r="W66" s="187"/>
      <c r="X66" s="187"/>
      <c r="Y66" s="187"/>
      <c r="Z66" s="187"/>
      <c r="AA66" s="177"/>
    </row>
    <row r="67" spans="1:27">
      <c r="A67" s="197"/>
      <c r="B67" s="190"/>
      <c r="C67" s="190"/>
      <c r="D67" s="190"/>
      <c r="E67" s="190"/>
      <c r="F67" s="190"/>
      <c r="G67" s="223" t="s">
        <v>58</v>
      </c>
      <c r="H67" s="242">
        <f>fcross_est/1000</f>
        <v>0.918201594760934</v>
      </c>
      <c r="I67" s="200" t="s">
        <v>14</v>
      </c>
      <c r="J67" s="187"/>
      <c r="K67" s="187"/>
      <c r="L67" s="187"/>
      <c r="M67" s="187"/>
      <c r="N67" s="187"/>
      <c r="O67" s="187"/>
      <c r="P67" s="187"/>
      <c r="Q67" s="187"/>
      <c r="R67" s="187"/>
      <c r="S67" s="187"/>
      <c r="T67" s="187"/>
      <c r="U67" s="190"/>
      <c r="V67" s="187"/>
      <c r="W67" s="187"/>
      <c r="X67" s="187"/>
      <c r="Y67" s="187"/>
      <c r="Z67" s="187"/>
      <c r="AA67" s="177"/>
    </row>
    <row r="68" ht="18.75" spans="1:27">
      <c r="A68" s="197"/>
      <c r="B68" s="190"/>
      <c r="C68" s="190"/>
      <c r="D68" s="190"/>
      <c r="E68" s="190"/>
      <c r="F68" s="190"/>
      <c r="G68" s="223" t="s">
        <v>59</v>
      </c>
      <c r="H68" s="199">
        <v>0.8</v>
      </c>
      <c r="I68" s="200" t="s">
        <v>14</v>
      </c>
      <c r="J68" s="187"/>
      <c r="K68" s="187"/>
      <c r="L68" s="187"/>
      <c r="M68" s="187"/>
      <c r="N68" s="187"/>
      <c r="O68" s="187"/>
      <c r="P68" s="187"/>
      <c r="Q68" s="187"/>
      <c r="R68" s="187"/>
      <c r="S68" s="187"/>
      <c r="T68" s="187"/>
      <c r="U68" s="190"/>
      <c r="V68" s="187"/>
      <c r="W68" s="187"/>
      <c r="X68" s="187"/>
      <c r="Y68" s="187"/>
      <c r="Z68" s="187"/>
      <c r="AA68" s="177"/>
    </row>
    <row r="69" spans="1:27">
      <c r="A69" s="197"/>
      <c r="B69" s="190"/>
      <c r="C69" s="190"/>
      <c r="D69" s="190"/>
      <c r="E69" s="190"/>
      <c r="F69" s="190"/>
      <c r="G69" s="223"/>
      <c r="H69" s="202"/>
      <c r="I69" s="200"/>
      <c r="J69" s="187"/>
      <c r="K69" s="187"/>
      <c r="L69" s="187"/>
      <c r="M69" s="187"/>
      <c r="N69" s="187"/>
      <c r="O69" s="187"/>
      <c r="P69" s="187"/>
      <c r="Q69" s="187"/>
      <c r="R69" s="187"/>
      <c r="S69" s="187"/>
      <c r="T69" s="187"/>
      <c r="U69" s="190"/>
      <c r="V69" s="187"/>
      <c r="W69" s="187"/>
      <c r="X69" s="187"/>
      <c r="Y69" s="187"/>
      <c r="Z69" s="187"/>
      <c r="AA69" s="177"/>
    </row>
    <row r="70" ht="15.75" spans="1:27">
      <c r="A70" s="197"/>
      <c r="B70" s="190"/>
      <c r="C70" s="190"/>
      <c r="D70" s="190"/>
      <c r="E70" s="190"/>
      <c r="F70" s="243" t="s">
        <v>60</v>
      </c>
      <c r="G70" s="243"/>
      <c r="H70" s="244" t="s">
        <v>61</v>
      </c>
      <c r="I70" s="245"/>
      <c r="J70" s="187"/>
      <c r="K70" s="187"/>
      <c r="L70" s="187"/>
      <c r="M70" s="187"/>
      <c r="N70" s="187"/>
      <c r="O70" s="187"/>
      <c r="P70" s="187"/>
      <c r="Q70" s="187"/>
      <c r="R70" s="187"/>
      <c r="S70" s="187"/>
      <c r="T70" s="187"/>
      <c r="U70" s="190"/>
      <c r="V70" s="187"/>
      <c r="W70" s="187"/>
      <c r="X70" s="187"/>
      <c r="Y70" s="187"/>
      <c r="Z70" s="187"/>
      <c r="AA70" s="177"/>
    </row>
    <row r="71" ht="19.5" spans="1:27">
      <c r="A71" s="197"/>
      <c r="B71" s="190"/>
      <c r="C71" s="190"/>
      <c r="D71" s="190"/>
      <c r="E71" s="223" t="s">
        <v>62</v>
      </c>
      <c r="F71" s="246">
        <f>RCOMP_Calc/1000</f>
        <v>1.20049101989028</v>
      </c>
      <c r="G71" s="247" t="s">
        <v>55</v>
      </c>
      <c r="H71" s="248">
        <v>1.6</v>
      </c>
      <c r="I71" s="225" t="s">
        <v>55</v>
      </c>
      <c r="J71" s="187"/>
      <c r="K71" s="187"/>
      <c r="L71" s="187"/>
      <c r="M71" s="187"/>
      <c r="N71" s="187"/>
      <c r="O71" s="187"/>
      <c r="P71" s="187"/>
      <c r="Q71" s="187"/>
      <c r="R71" s="187"/>
      <c r="S71" s="187"/>
      <c r="T71" s="187"/>
      <c r="U71" s="190"/>
      <c r="V71" s="187"/>
      <c r="W71" s="187"/>
      <c r="X71" s="187"/>
      <c r="Y71" s="187"/>
      <c r="Z71" s="187"/>
      <c r="AA71" s="177"/>
    </row>
    <row r="72" ht="19.5" spans="1:27">
      <c r="A72" s="197"/>
      <c r="B72" s="190"/>
      <c r="C72" s="190"/>
      <c r="D72" s="190"/>
      <c r="E72" s="223" t="s">
        <v>63</v>
      </c>
      <c r="F72" s="249">
        <f>CCOMP_Calc*(10^9)</f>
        <v>197.514469624212</v>
      </c>
      <c r="G72" s="247" t="s">
        <v>64</v>
      </c>
      <c r="H72" s="248">
        <v>155</v>
      </c>
      <c r="I72" s="200" t="s">
        <v>64</v>
      </c>
      <c r="J72" s="187"/>
      <c r="K72" s="187"/>
      <c r="L72" s="187"/>
      <c r="M72" s="187"/>
      <c r="N72" s="187"/>
      <c r="O72" s="187"/>
      <c r="P72" s="187"/>
      <c r="Q72" s="187"/>
      <c r="R72" s="187"/>
      <c r="S72" s="187"/>
      <c r="T72" s="187"/>
      <c r="U72" s="190"/>
      <c r="V72" s="187"/>
      <c r="W72" s="187"/>
      <c r="X72" s="187"/>
      <c r="Y72" s="187"/>
      <c r="Z72" s="187"/>
      <c r="AA72" s="177"/>
    </row>
    <row r="73" ht="19.5" spans="1:27">
      <c r="A73" s="220"/>
      <c r="B73" s="209"/>
      <c r="C73" s="209"/>
      <c r="D73" s="209"/>
      <c r="E73" s="226" t="s">
        <v>65</v>
      </c>
      <c r="F73" s="250">
        <f>CHF_calc*(10^12)</f>
        <v>24064.2273954946</v>
      </c>
      <c r="G73" s="251" t="s">
        <v>66</v>
      </c>
      <c r="H73" s="231">
        <v>20054</v>
      </c>
      <c r="I73" s="212" t="s">
        <v>66</v>
      </c>
      <c r="J73" s="187"/>
      <c r="K73" s="187"/>
      <c r="L73" s="187"/>
      <c r="M73" s="187"/>
      <c r="N73" s="187"/>
      <c r="O73" s="187"/>
      <c r="P73" s="187"/>
      <c r="Q73" s="187"/>
      <c r="R73" s="187"/>
      <c r="S73" s="187"/>
      <c r="T73" s="187"/>
      <c r="U73" s="190"/>
      <c r="V73" s="187"/>
      <c r="W73" s="187"/>
      <c r="X73" s="187"/>
      <c r="Y73" s="187"/>
      <c r="Z73" s="187"/>
      <c r="AA73" s="177"/>
    </row>
    <row r="74" spans="1:27">
      <c r="A74" s="187"/>
      <c r="B74" s="187"/>
      <c r="C74" s="187"/>
      <c r="D74" s="187"/>
      <c r="E74" s="188"/>
      <c r="F74" s="252"/>
      <c r="G74" s="188"/>
      <c r="H74" s="253"/>
      <c r="I74" s="187"/>
      <c r="J74" s="187"/>
      <c r="K74" s="187"/>
      <c r="L74" s="187"/>
      <c r="M74" s="187"/>
      <c r="N74" s="187"/>
      <c r="O74" s="187"/>
      <c r="P74" s="187"/>
      <c r="Q74" s="187"/>
      <c r="R74" s="187"/>
      <c r="S74" s="187"/>
      <c r="T74" s="187"/>
      <c r="U74" s="190"/>
      <c r="V74" s="187"/>
      <c r="W74" s="187"/>
      <c r="X74" s="187"/>
      <c r="Y74" s="187"/>
      <c r="Z74" s="187"/>
      <c r="AA74" s="177"/>
    </row>
    <row r="75" ht="23.25" spans="1:27">
      <c r="A75" s="254" t="s">
        <v>67</v>
      </c>
      <c r="B75" s="255"/>
      <c r="C75" s="255"/>
      <c r="D75" s="255"/>
      <c r="E75" s="255"/>
      <c r="F75" s="255"/>
      <c r="G75" s="256"/>
      <c r="H75" s="255"/>
      <c r="I75" s="255"/>
      <c r="J75" s="255"/>
      <c r="K75" s="255"/>
      <c r="L75" s="255"/>
      <c r="M75" s="255"/>
      <c r="N75" s="255"/>
      <c r="O75" s="255"/>
      <c r="P75" s="255"/>
      <c r="Q75" s="255"/>
      <c r="R75" s="255"/>
      <c r="S75" s="255"/>
      <c r="T75" s="257"/>
      <c r="U75" s="258"/>
      <c r="V75" s="257"/>
      <c r="W75" s="257"/>
      <c r="X75" s="257"/>
      <c r="Y75" s="257"/>
      <c r="Z75" s="257"/>
    </row>
    <row r="76" spans="1:27">
      <c r="A76" s="187"/>
      <c r="B76" s="187"/>
      <c r="C76" s="187"/>
      <c r="D76" s="187"/>
      <c r="E76" s="187"/>
      <c r="F76" s="187"/>
      <c r="G76" s="187"/>
      <c r="H76" s="187"/>
      <c r="I76" s="187"/>
      <c r="J76" s="187"/>
      <c r="K76" s="187"/>
      <c r="L76" s="187"/>
      <c r="M76" s="187"/>
      <c r="N76" s="187"/>
      <c r="O76" s="187"/>
      <c r="P76" s="187"/>
      <c r="Q76" s="187"/>
      <c r="R76" s="187"/>
      <c r="S76" s="187"/>
      <c r="T76" s="187"/>
      <c r="U76" s="190"/>
      <c r="V76" s="187"/>
      <c r="W76" s="187"/>
      <c r="X76" s="187"/>
      <c r="Y76" s="187"/>
      <c r="Z76" s="187"/>
      <c r="AA76" s="177"/>
    </row>
    <row r="77" ht="15.75" spans="1:27">
      <c r="A77" s="259" t="s">
        <v>68</v>
      </c>
      <c r="B77" s="190"/>
      <c r="C77" s="190"/>
      <c r="D77" s="190"/>
      <c r="E77" s="190"/>
      <c r="F77" s="187"/>
      <c r="G77" s="187"/>
      <c r="H77" s="190"/>
      <c r="I77" s="190"/>
      <c r="J77" s="187"/>
      <c r="K77" s="187"/>
      <c r="L77" s="187"/>
      <c r="M77" s="187"/>
      <c r="N77" s="187"/>
      <c r="O77" s="187"/>
      <c r="P77" s="187"/>
      <c r="Q77" s="187"/>
      <c r="R77" s="187"/>
      <c r="S77" s="187"/>
      <c r="T77" s="187"/>
      <c r="U77" s="190"/>
      <c r="V77" s="187"/>
      <c r="W77" s="187"/>
      <c r="X77" s="187"/>
      <c r="Y77" s="187"/>
      <c r="Z77" s="187"/>
      <c r="AA77" s="177"/>
    </row>
    <row r="78" ht="16.5" spans="1:27">
      <c r="A78" s="192"/>
      <c r="B78" s="193"/>
      <c r="C78" s="193"/>
      <c r="D78" s="193"/>
      <c r="E78" s="193"/>
      <c r="F78" s="193"/>
      <c r="G78" s="260" t="s">
        <v>69</v>
      </c>
      <c r="H78" s="195">
        <f>0.075*1000</f>
        <v>75</v>
      </c>
      <c r="I78" s="261" t="s">
        <v>70</v>
      </c>
      <c r="J78" s="80"/>
      <c r="K78" s="80"/>
      <c r="L78" s="80"/>
      <c r="M78" s="80"/>
      <c r="N78" s="80"/>
      <c r="O78" s="80"/>
      <c r="P78" s="80"/>
      <c r="Q78" s="80"/>
      <c r="R78" s="80"/>
      <c r="S78" s="80"/>
      <c r="T78" s="80"/>
      <c r="U78" s="262"/>
      <c r="V78" s="253"/>
      <c r="W78" s="80"/>
      <c r="X78" s="80"/>
      <c r="Y78" s="80"/>
      <c r="Z78" s="80"/>
      <c r="AA78" s="177"/>
    </row>
    <row r="79" ht="16.5" spans="1:27">
      <c r="A79" s="240"/>
      <c r="B79" s="190"/>
      <c r="C79" s="190"/>
      <c r="D79" s="190"/>
      <c r="E79" s="190"/>
      <c r="F79" s="190"/>
      <c r="G79" s="263" t="s">
        <v>71</v>
      </c>
      <c r="H79" s="199">
        <v>20</v>
      </c>
      <c r="I79" s="264" t="s">
        <v>72</v>
      </c>
      <c r="J79" s="80"/>
      <c r="K79" s="80"/>
      <c r="L79" s="80"/>
      <c r="M79" s="80"/>
      <c r="N79" s="80"/>
      <c r="O79" s="80"/>
      <c r="P79" s="80"/>
      <c r="Q79" s="80"/>
      <c r="R79" s="80"/>
      <c r="S79" s="80"/>
      <c r="T79" s="80"/>
      <c r="U79" s="262"/>
      <c r="V79" s="253"/>
      <c r="W79" s="80"/>
      <c r="X79" s="80"/>
      <c r="Y79" s="80"/>
      <c r="Z79" s="80"/>
      <c r="AA79" s="177"/>
    </row>
    <row r="80" ht="16.5" spans="1:27">
      <c r="A80" s="240"/>
      <c r="B80" s="190"/>
      <c r="C80" s="190"/>
      <c r="D80" s="190"/>
      <c r="E80" s="190"/>
      <c r="F80" s="190"/>
      <c r="G80" s="263" t="s">
        <v>73</v>
      </c>
      <c r="H80" s="199">
        <v>5.3</v>
      </c>
      <c r="I80" s="264" t="s">
        <v>72</v>
      </c>
      <c r="J80" s="80"/>
      <c r="K80" s="80"/>
      <c r="L80" s="80"/>
      <c r="M80" s="80"/>
      <c r="N80" s="80"/>
      <c r="O80" s="80"/>
      <c r="P80" s="80"/>
      <c r="Q80" s="80"/>
      <c r="R80" s="80"/>
      <c r="S80" s="80"/>
      <c r="T80" s="80"/>
      <c r="U80" s="262"/>
      <c r="V80" s="253"/>
      <c r="W80" s="80"/>
      <c r="X80" s="80"/>
      <c r="Y80" s="80"/>
      <c r="Z80" s="80"/>
      <c r="AA80" s="177"/>
    </row>
    <row r="81" ht="16.5" spans="1:27">
      <c r="A81" s="197"/>
      <c r="B81" s="190"/>
      <c r="C81" s="190"/>
      <c r="D81" s="190"/>
      <c r="E81" s="190"/>
      <c r="F81" s="190"/>
      <c r="G81" s="263" t="s">
        <v>74</v>
      </c>
      <c r="H81" s="199">
        <v>5.3</v>
      </c>
      <c r="I81" s="264" t="s">
        <v>72</v>
      </c>
      <c r="J81" s="80"/>
      <c r="K81" s="80"/>
      <c r="L81" s="80"/>
      <c r="M81" s="80"/>
      <c r="N81" s="80"/>
      <c r="O81" s="80"/>
      <c r="P81" s="80"/>
      <c r="Q81" s="80"/>
      <c r="R81" s="80"/>
      <c r="S81" s="80"/>
      <c r="T81" s="80"/>
      <c r="U81" s="262"/>
      <c r="V81" s="253"/>
      <c r="W81" s="80"/>
      <c r="X81" s="80"/>
      <c r="Y81" s="80"/>
      <c r="Z81" s="80"/>
      <c r="AA81" s="177"/>
    </row>
    <row r="82" ht="16.5" spans="1:27">
      <c r="A82" s="197"/>
      <c r="B82" s="190"/>
      <c r="C82" s="190"/>
      <c r="D82" s="190"/>
      <c r="E82" s="190"/>
      <c r="F82" s="190"/>
      <c r="G82" s="263" t="s">
        <v>75</v>
      </c>
      <c r="H82" s="199">
        <v>3</v>
      </c>
      <c r="I82" s="264" t="s">
        <v>76</v>
      </c>
      <c r="J82" s="80"/>
      <c r="K82" s="80"/>
      <c r="L82" s="80"/>
      <c r="M82" s="80"/>
      <c r="N82" s="80"/>
      <c r="O82" s="80"/>
      <c r="P82" s="80"/>
      <c r="Q82" s="80"/>
      <c r="R82" s="80"/>
      <c r="S82" s="80"/>
      <c r="T82" s="80"/>
      <c r="U82" s="262"/>
      <c r="V82" s="253"/>
      <c r="W82" s="80"/>
      <c r="X82" s="80"/>
      <c r="Y82" s="80"/>
      <c r="Z82" s="80"/>
      <c r="AA82" s="177"/>
    </row>
    <row r="83" ht="16.5" spans="1:27">
      <c r="A83" s="197"/>
      <c r="B83" s="190"/>
      <c r="C83" s="190"/>
      <c r="D83" s="190"/>
      <c r="E83" s="190"/>
      <c r="F83" s="190"/>
      <c r="G83" s="263" t="s">
        <v>77</v>
      </c>
      <c r="H83" s="199">
        <v>4.5</v>
      </c>
      <c r="I83" s="264" t="s">
        <v>78</v>
      </c>
      <c r="J83" s="80"/>
      <c r="K83" s="80"/>
      <c r="L83" s="80"/>
      <c r="M83" s="80"/>
      <c r="N83" s="80"/>
      <c r="O83" s="80"/>
      <c r="P83" s="80"/>
      <c r="Q83" s="80"/>
      <c r="R83" s="80"/>
      <c r="S83" s="80"/>
      <c r="T83" s="80"/>
      <c r="U83" s="262"/>
      <c r="V83" s="253"/>
      <c r="W83" s="80"/>
      <c r="X83" s="80"/>
      <c r="Y83" s="80"/>
      <c r="Z83" s="80"/>
      <c r="AA83" s="177"/>
    </row>
    <row r="84" ht="17.25" spans="1:27">
      <c r="A84" s="220"/>
      <c r="B84" s="209"/>
      <c r="C84" s="209"/>
      <c r="D84" s="209"/>
      <c r="E84" s="209"/>
      <c r="F84" s="209"/>
      <c r="G84" s="265" t="s">
        <v>79</v>
      </c>
      <c r="H84" s="231">
        <v>2.2</v>
      </c>
      <c r="I84" s="266" t="s">
        <v>7</v>
      </c>
      <c r="J84" s="80"/>
      <c r="K84" s="80"/>
      <c r="L84" s="80"/>
      <c r="M84" s="80"/>
      <c r="N84" s="80"/>
      <c r="O84" s="80"/>
      <c r="P84" s="80"/>
      <c r="Q84" s="80"/>
      <c r="R84" s="80"/>
      <c r="S84" s="80"/>
      <c r="T84" s="80"/>
      <c r="U84" s="262"/>
      <c r="V84" s="253"/>
      <c r="W84" s="80"/>
      <c r="X84" s="80"/>
      <c r="Y84" s="80"/>
      <c r="Z84" s="80"/>
      <c r="AA84" s="177"/>
    </row>
    <row r="85" spans="1:27">
      <c r="A85" s="187"/>
      <c r="B85" s="187"/>
      <c r="C85" s="187"/>
      <c r="D85" s="187"/>
      <c r="E85" s="187"/>
      <c r="F85" s="187"/>
      <c r="G85" s="188"/>
      <c r="H85" s="187"/>
      <c r="I85" s="190"/>
      <c r="J85" s="187"/>
      <c r="K85" s="187"/>
      <c r="L85" s="187"/>
      <c r="M85" s="187"/>
      <c r="N85" s="187"/>
      <c r="O85" s="187"/>
      <c r="P85" s="187"/>
      <c r="Q85" s="187"/>
      <c r="R85" s="187"/>
      <c r="S85" s="187"/>
      <c r="T85" s="187"/>
      <c r="U85" s="190"/>
      <c r="V85" s="187"/>
      <c r="W85" s="187"/>
      <c r="X85" s="187"/>
      <c r="Y85" s="187"/>
      <c r="Z85" s="187"/>
      <c r="AA85" s="177"/>
    </row>
    <row r="86" ht="15.75" spans="1:27">
      <c r="A86" s="267" t="s">
        <v>80</v>
      </c>
      <c r="B86" s="187"/>
      <c r="C86" s="187"/>
      <c r="D86" s="187"/>
      <c r="E86" s="187"/>
      <c r="F86" s="187"/>
      <c r="G86" s="188"/>
      <c r="H86" s="187"/>
      <c r="I86" s="187"/>
      <c r="J86" s="187"/>
      <c r="K86" s="187"/>
      <c r="L86" s="187"/>
      <c r="M86" s="187"/>
      <c r="N86" s="187"/>
      <c r="O86" s="187"/>
      <c r="P86" s="187"/>
      <c r="Q86" s="187"/>
      <c r="R86" s="187"/>
      <c r="S86" s="187"/>
      <c r="T86" s="187"/>
      <c r="U86" s="190"/>
      <c r="V86" s="187"/>
      <c r="W86" s="187"/>
      <c r="X86" s="187"/>
      <c r="Y86" s="187"/>
      <c r="Z86" s="187"/>
      <c r="AA86" s="177"/>
    </row>
    <row r="87" ht="18.75" spans="1:27">
      <c r="A87" s="192"/>
      <c r="B87" s="193"/>
      <c r="C87" s="193"/>
      <c r="D87" s="193"/>
      <c r="E87" s="193"/>
      <c r="F87" s="193"/>
      <c r="G87" s="229" t="s">
        <v>81</v>
      </c>
      <c r="H87" s="268">
        <f>IOUT</f>
        <v>2</v>
      </c>
      <c r="I87" s="196" t="s">
        <v>12</v>
      </c>
      <c r="J87" s="80"/>
      <c r="K87" s="80"/>
      <c r="L87" s="80"/>
      <c r="M87" s="80"/>
      <c r="N87" s="80"/>
      <c r="O87" s="80"/>
      <c r="P87" s="80"/>
      <c r="Q87" s="80"/>
      <c r="R87" s="80"/>
      <c r="S87" s="80"/>
      <c r="T87" s="80"/>
      <c r="U87" s="262"/>
      <c r="V87" s="253"/>
      <c r="W87" s="80"/>
      <c r="X87" s="80"/>
      <c r="Y87" s="80"/>
      <c r="Z87" s="80"/>
      <c r="AA87" s="177"/>
    </row>
    <row r="88" ht="18.75" spans="1:27">
      <c r="A88" s="197"/>
      <c r="B88" s="190"/>
      <c r="C88" s="190"/>
      <c r="D88" s="190"/>
      <c r="E88" s="190"/>
      <c r="F88" s="190"/>
      <c r="G88" s="223" t="s">
        <v>82</v>
      </c>
      <c r="H88" s="199">
        <v>620</v>
      </c>
      <c r="I88" s="200" t="s">
        <v>46</v>
      </c>
      <c r="J88" s="80"/>
      <c r="K88" s="80"/>
      <c r="L88" s="80"/>
      <c r="M88" s="80"/>
      <c r="N88" s="80"/>
      <c r="O88" s="80"/>
      <c r="P88" s="80"/>
      <c r="Q88" s="80"/>
      <c r="R88" s="80"/>
      <c r="S88" s="80"/>
      <c r="T88" s="80"/>
      <c r="U88" s="262"/>
      <c r="V88" s="253"/>
      <c r="W88" s="80"/>
      <c r="X88" s="80"/>
      <c r="Y88" s="80"/>
      <c r="Z88" s="80"/>
      <c r="AA88" s="177"/>
    </row>
    <row r="89" spans="1:27">
      <c r="A89" s="220"/>
      <c r="B89" s="209"/>
      <c r="C89" s="209"/>
      <c r="D89" s="209"/>
      <c r="E89" s="209"/>
      <c r="F89" s="209"/>
      <c r="G89" s="226" t="s">
        <v>83</v>
      </c>
      <c r="H89" s="231">
        <v>0</v>
      </c>
      <c r="I89" s="212" t="s">
        <v>72</v>
      </c>
      <c r="J89" s="80"/>
      <c r="K89" s="80"/>
      <c r="L89" s="80"/>
      <c r="M89" s="80"/>
      <c r="N89" s="80"/>
      <c r="O89" s="80"/>
      <c r="P89" s="80"/>
      <c r="Q89" s="80"/>
      <c r="R89" s="80"/>
      <c r="S89" s="80"/>
      <c r="T89" s="80"/>
      <c r="U89" s="262"/>
      <c r="V89" s="253"/>
      <c r="W89" s="80"/>
      <c r="X89" s="80"/>
      <c r="Y89" s="80"/>
      <c r="Z89" s="80"/>
      <c r="AA89" s="177"/>
    </row>
    <row r="90" spans="1:27">
      <c r="A90" s="187"/>
      <c r="B90" s="187"/>
      <c r="C90" s="187"/>
      <c r="D90" s="187"/>
      <c r="E90" s="187"/>
      <c r="F90" s="187"/>
      <c r="G90" s="188"/>
      <c r="H90" s="187"/>
      <c r="I90" s="187"/>
      <c r="J90" s="187"/>
      <c r="K90" s="187"/>
      <c r="L90" s="187"/>
      <c r="M90" s="187"/>
      <c r="N90" s="187"/>
      <c r="O90" s="187"/>
      <c r="P90" s="187"/>
      <c r="Q90" s="187"/>
      <c r="R90" s="187"/>
      <c r="S90" s="187"/>
      <c r="T90" s="187"/>
      <c r="U90" s="190"/>
      <c r="V90" s="187"/>
      <c r="W90" s="187"/>
      <c r="X90" s="187"/>
      <c r="Y90" s="187"/>
      <c r="Z90" s="187"/>
      <c r="AA90" s="177"/>
    </row>
    <row r="91" spans="1:27">
      <c r="A91" s="187"/>
      <c r="B91" s="187"/>
      <c r="C91" s="187"/>
      <c r="D91" s="187"/>
      <c r="E91" s="187"/>
      <c r="F91" s="187"/>
      <c r="G91" s="188"/>
      <c r="H91" s="187"/>
      <c r="I91" s="187"/>
      <c r="J91" s="187"/>
      <c r="K91" s="187"/>
      <c r="L91" s="187"/>
      <c r="M91" s="187"/>
      <c r="N91" s="187"/>
      <c r="O91" s="187"/>
      <c r="P91" s="187"/>
      <c r="Q91" s="187"/>
      <c r="R91" s="187"/>
      <c r="S91" s="187"/>
      <c r="T91" s="187"/>
      <c r="U91" s="190"/>
      <c r="V91" s="187"/>
      <c r="W91" s="187"/>
      <c r="X91" s="187"/>
      <c r="Y91" s="187"/>
      <c r="Z91" s="187"/>
      <c r="AA91" s="177"/>
    </row>
    <row r="92" spans="1:27">
      <c r="A92" s="187"/>
      <c r="B92" s="187"/>
      <c r="C92" s="187"/>
      <c r="D92" s="187"/>
      <c r="E92" s="187"/>
      <c r="F92" s="187"/>
      <c r="G92" s="188"/>
      <c r="H92" s="187"/>
      <c r="I92" s="187"/>
      <c r="J92" s="187"/>
      <c r="K92" s="187"/>
      <c r="L92" s="187"/>
      <c r="M92" s="187"/>
      <c r="N92" s="187"/>
      <c r="O92" s="187"/>
      <c r="P92" s="187"/>
      <c r="Q92" s="187"/>
      <c r="R92" s="187"/>
      <c r="S92" s="187"/>
      <c r="T92" s="187"/>
      <c r="U92" s="190"/>
      <c r="V92" s="187"/>
      <c r="W92" s="187"/>
      <c r="X92" s="187"/>
      <c r="Y92" s="187"/>
      <c r="Z92" s="187"/>
      <c r="AA92" s="177"/>
    </row>
    <row r="93" spans="1:27">
      <c r="A93" s="187"/>
      <c r="B93" s="187"/>
      <c r="C93" s="187"/>
      <c r="D93" s="187"/>
      <c r="E93" s="187"/>
      <c r="F93" s="187"/>
      <c r="G93" s="188"/>
      <c r="H93" s="187"/>
      <c r="I93" s="187"/>
      <c r="J93" s="187"/>
      <c r="K93" s="187"/>
      <c r="L93" s="187"/>
      <c r="M93" s="187"/>
      <c r="N93" s="187"/>
      <c r="O93" s="187"/>
      <c r="P93" s="187"/>
      <c r="Q93" s="187"/>
      <c r="R93" s="187"/>
      <c r="S93" s="187"/>
      <c r="T93" s="187"/>
      <c r="U93" s="190"/>
      <c r="V93" s="187"/>
      <c r="W93" s="187"/>
      <c r="X93" s="187"/>
      <c r="Y93" s="187"/>
      <c r="Z93" s="187"/>
      <c r="AA93" s="177"/>
    </row>
    <row r="94" spans="1:27">
      <c r="A94" s="187"/>
      <c r="B94" s="187"/>
      <c r="C94" s="187"/>
      <c r="D94" s="187"/>
      <c r="E94" s="187"/>
      <c r="F94" s="187"/>
      <c r="G94" s="188"/>
      <c r="H94" s="187"/>
      <c r="I94" s="187"/>
      <c r="J94" s="187"/>
      <c r="K94" s="187"/>
      <c r="L94" s="187"/>
      <c r="M94" s="187"/>
      <c r="N94" s="187"/>
      <c r="O94" s="187"/>
      <c r="P94" s="187"/>
      <c r="Q94" s="187"/>
      <c r="R94" s="187"/>
      <c r="S94" s="187"/>
      <c r="T94" s="187"/>
      <c r="U94" s="190"/>
      <c r="V94" s="187"/>
      <c r="W94" s="187"/>
      <c r="X94" s="187"/>
      <c r="Y94" s="187"/>
      <c r="Z94" s="187"/>
      <c r="AA94" s="177"/>
    </row>
    <row r="95" spans="1:27">
      <c r="A95" s="187"/>
      <c r="B95" s="187"/>
      <c r="C95" s="187"/>
      <c r="D95" s="187"/>
      <c r="E95" s="187"/>
      <c r="F95" s="187"/>
      <c r="G95" s="188"/>
      <c r="H95" s="187"/>
      <c r="I95" s="187"/>
      <c r="J95" s="187"/>
      <c r="K95" s="187"/>
      <c r="L95" s="187"/>
      <c r="M95" s="187"/>
      <c r="N95" s="187"/>
      <c r="O95" s="187"/>
      <c r="P95" s="187"/>
      <c r="Q95" s="187"/>
      <c r="R95" s="187"/>
      <c r="S95" s="187"/>
      <c r="T95" s="187"/>
      <c r="U95" s="190"/>
      <c r="V95" s="187"/>
      <c r="W95" s="187"/>
      <c r="X95" s="187"/>
      <c r="Y95" s="187"/>
      <c r="Z95" s="187"/>
      <c r="AA95" s="177"/>
    </row>
    <row r="96" spans="1:27">
      <c r="A96" s="187"/>
      <c r="B96" s="187"/>
      <c r="C96" s="187"/>
      <c r="D96" s="187"/>
      <c r="E96" s="187"/>
      <c r="F96" s="187"/>
      <c r="G96" s="188"/>
      <c r="H96" s="187"/>
      <c r="I96" s="187"/>
      <c r="J96" s="187"/>
      <c r="K96" s="187"/>
      <c r="L96" s="187"/>
      <c r="M96" s="187"/>
      <c r="N96" s="187"/>
      <c r="O96" s="187"/>
      <c r="P96" s="187"/>
      <c r="Q96" s="187"/>
      <c r="R96" s="187"/>
      <c r="S96" s="187"/>
      <c r="T96" s="187"/>
      <c r="U96" s="190"/>
      <c r="V96" s="187"/>
      <c r="W96" s="187"/>
      <c r="X96" s="187"/>
      <c r="Y96" s="187"/>
      <c r="Z96" s="187"/>
      <c r="AA96" s="177"/>
    </row>
    <row r="97" spans="1:27">
      <c r="A97" s="187"/>
      <c r="B97" s="187"/>
      <c r="C97" s="187"/>
      <c r="D97" s="187"/>
      <c r="E97" s="187"/>
      <c r="F97" s="187"/>
      <c r="G97" s="188"/>
      <c r="H97" s="187"/>
      <c r="I97" s="187"/>
      <c r="J97" s="187"/>
      <c r="K97" s="187"/>
      <c r="L97" s="187"/>
      <c r="M97" s="187"/>
      <c r="N97" s="187"/>
      <c r="O97" s="187"/>
      <c r="P97" s="187"/>
      <c r="Q97" s="187"/>
      <c r="R97" s="187"/>
      <c r="S97" s="187"/>
      <c r="T97" s="187"/>
      <c r="U97" s="190"/>
      <c r="V97" s="187"/>
      <c r="W97" s="187"/>
      <c r="X97" s="187"/>
      <c r="Y97" s="187"/>
      <c r="Z97" s="187"/>
      <c r="AA97" s="177"/>
    </row>
    <row r="98" spans="1:27">
      <c r="A98" s="187"/>
      <c r="B98" s="187"/>
      <c r="C98" s="187"/>
      <c r="D98" s="187"/>
      <c r="E98" s="187"/>
      <c r="F98" s="187"/>
      <c r="G98" s="188"/>
      <c r="H98" s="187"/>
      <c r="I98" s="187"/>
      <c r="J98" s="187"/>
      <c r="K98" s="187"/>
      <c r="L98" s="187"/>
      <c r="M98" s="187"/>
      <c r="N98" s="187"/>
      <c r="O98" s="187"/>
      <c r="P98" s="187"/>
      <c r="Q98" s="187"/>
      <c r="R98" s="187"/>
      <c r="S98" s="187"/>
      <c r="T98" s="187"/>
      <c r="U98" s="190"/>
      <c r="V98" s="187"/>
      <c r="W98" s="187"/>
      <c r="X98" s="187"/>
      <c r="Y98" s="187"/>
      <c r="Z98" s="187"/>
      <c r="AA98" s="177"/>
    </row>
    <row r="99" spans="1:27">
      <c r="A99" s="187"/>
      <c r="B99" s="187"/>
      <c r="C99" s="187"/>
      <c r="D99" s="187"/>
      <c r="E99" s="187"/>
      <c r="F99" s="187"/>
      <c r="G99" s="188"/>
      <c r="H99" s="187"/>
      <c r="I99" s="187"/>
      <c r="J99" s="187"/>
      <c r="K99" s="187"/>
      <c r="L99" s="187"/>
      <c r="M99" s="187"/>
      <c r="N99" s="187"/>
      <c r="O99" s="187"/>
      <c r="P99" s="187"/>
      <c r="Q99" s="187"/>
      <c r="R99" s="187"/>
      <c r="S99" s="187"/>
      <c r="T99" s="187"/>
      <c r="U99" s="190"/>
      <c r="V99" s="187"/>
      <c r="W99" s="187"/>
      <c r="X99" s="187"/>
      <c r="Y99" s="187"/>
      <c r="Z99" s="187"/>
      <c r="AA99" s="177"/>
    </row>
    <row r="100" spans="1:27">
      <c r="A100" s="187"/>
      <c r="B100" s="187"/>
      <c r="C100" s="187"/>
      <c r="D100" s="187"/>
      <c r="E100" s="187"/>
      <c r="F100" s="187"/>
      <c r="G100" s="188"/>
      <c r="H100" s="187"/>
      <c r="I100" s="187"/>
      <c r="J100" s="187"/>
      <c r="K100" s="187"/>
      <c r="L100" s="187"/>
      <c r="M100" s="187"/>
      <c r="N100" s="187"/>
      <c r="O100" s="187"/>
      <c r="P100" s="187"/>
      <c r="Q100" s="187"/>
      <c r="R100" s="187"/>
      <c r="S100" s="187"/>
      <c r="T100" s="187"/>
      <c r="U100" s="190"/>
      <c r="V100" s="187"/>
      <c r="W100" s="187"/>
      <c r="X100" s="187"/>
      <c r="Y100" s="187"/>
      <c r="Z100" s="187"/>
      <c r="AA100" s="177"/>
    </row>
    <row r="101" spans="1:27">
      <c r="A101" s="187"/>
      <c r="B101" s="187"/>
      <c r="C101" s="187"/>
      <c r="D101" s="187"/>
      <c r="E101" s="187"/>
      <c r="F101" s="187"/>
      <c r="G101" s="188"/>
      <c r="H101" s="187"/>
      <c r="I101" s="187"/>
      <c r="J101" s="187"/>
      <c r="K101" s="187"/>
      <c r="L101" s="187"/>
      <c r="M101" s="187"/>
      <c r="N101" s="187"/>
      <c r="O101" s="187"/>
      <c r="P101" s="187"/>
      <c r="Q101" s="187"/>
      <c r="R101" s="187"/>
      <c r="S101" s="187"/>
      <c r="T101" s="187"/>
      <c r="U101" s="190"/>
      <c r="V101" s="187"/>
      <c r="W101" s="187"/>
      <c r="X101" s="187"/>
      <c r="Y101" s="187"/>
      <c r="Z101" s="187"/>
      <c r="AA101" s="177"/>
    </row>
    <row r="102" spans="1:27">
      <c r="A102" s="269"/>
      <c r="B102" s="269"/>
      <c r="C102" s="269"/>
      <c r="D102" s="269"/>
      <c r="E102" s="269"/>
      <c r="F102" s="269"/>
      <c r="G102" s="270"/>
      <c r="H102" s="269"/>
      <c r="I102" s="269"/>
      <c r="J102" s="269"/>
      <c r="K102" s="269"/>
      <c r="L102" s="269"/>
      <c r="M102" s="269"/>
      <c r="N102" s="269"/>
      <c r="O102" s="269"/>
      <c r="P102" s="269"/>
      <c r="Q102" s="269"/>
      <c r="R102" s="269"/>
      <c r="S102" s="269"/>
      <c r="T102" s="269"/>
      <c r="U102" s="178"/>
      <c r="V102" s="269"/>
      <c r="W102" s="269"/>
      <c r="X102" s="269"/>
      <c r="Y102" s="269"/>
      <c r="Z102" s="269"/>
      <c r="AA102" s="177"/>
    </row>
  </sheetData>
  <sheetProtection algorithmName="SHA-512" hashValue="bZn5BxNoQji7e1OWgd53ovX541s0yIMhHlSN7b6uPqCJHi2+HVCy3Ji5mYlhYKsqPcL7cRV0iAgdJo4VuP7CPw==" saltValue="3v/sh/XiDIsewZ/5WLObCA==" spinCount="100000" sheet="1" selectLockedCells="1" objects="1" scenarios="1"/>
  <conditionalFormatting sqref="H7">
    <cfRule type="cellIs" dxfId="0" priority="9" operator="lessThan">
      <formula>VIN_op_min</formula>
    </cfRule>
    <cfRule type="cellIs" dxfId="0" priority="10" operator="greaterThan">
      <formula>VIN_op_max</formula>
    </cfRule>
  </conditionalFormatting>
  <conditionalFormatting sqref="H8">
    <cfRule type="cellIs" dxfId="0" priority="8" operator="notBetween">
      <formula>$H$7</formula>
      <formula>$H$9</formula>
    </cfRule>
  </conditionalFormatting>
  <conditionalFormatting sqref="H9">
    <cfRule type="cellIs" dxfId="0" priority="5" operator="greaterThan">
      <formula>VIN_op_max</formula>
    </cfRule>
    <cfRule type="cellIs" dxfId="0" priority="6" operator="lessThan">
      <formula>VIN_op_min</formula>
    </cfRule>
  </conditionalFormatting>
  <conditionalFormatting sqref="H12">
    <cfRule type="cellIs" dxfId="0" priority="1" operator="notBetween">
      <formula>100</formula>
      <formula>1000</formula>
    </cfRule>
  </conditionalFormatting>
  <conditionalFormatting sqref="H16">
    <cfRule type="expression" dxfId="1" priority="2">
      <formula>$H$16&gt;$H$15</formula>
    </cfRule>
  </conditionalFormatting>
  <conditionalFormatting sqref="H59">
    <cfRule type="expression" dxfId="2" priority="3">
      <formula>Loop_Modeling!$B$16&gt;$H$9</formula>
    </cfRule>
    <cfRule type="expression" dxfId="2" priority="4">
      <formula>Loop_Modeling!$B$16&lt;$H$7</formula>
    </cfRule>
  </conditionalFormatting>
  <hyperlinks>
    <hyperlink ref="O3" location="Licenses!A1" display="TERMS OF USE"/>
  </hyperlinks>
  <pageMargins left="0.2" right="0.2" top="0.25" bottom="0.25" header="0" footer="0"/>
  <pageSetup paperSize="9" scale="44"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1060" name="Spinner 36" r:id="rId4">
              <controlPr defaultSize="0">
                <anchor moveWithCells="1" sizeWithCells="1">
                  <from>
                    <xdr:col>7</xdr:col>
                    <xdr:colOff>751840</xdr:colOff>
                    <xdr:row>58</xdr:row>
                    <xdr:rowOff>0</xdr:rowOff>
                  </from>
                  <to>
                    <xdr:col>8</xdr:col>
                    <xdr:colOff>269240</xdr:colOff>
                    <xdr:row>60</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47"/>
  <sheetViews>
    <sheetView workbookViewId="0">
      <selection activeCell="A50" sqref="A50"/>
    </sheetView>
  </sheetViews>
  <sheetFormatPr defaultColWidth="9.14285714285714" defaultRowHeight="14.25"/>
  <cols>
    <col min="1" max="1" width="25.7142857142857" style="150" customWidth="1"/>
    <col min="2" max="2" width="56.5714285714286" style="151" customWidth="1"/>
    <col min="3" max="11" width="9.14285714285714" style="152"/>
    <col min="12" max="12" width="20.4285714285714" style="152" customWidth="1"/>
    <col min="13" max="16384" width="9.14285714285714" style="152"/>
  </cols>
  <sheetData>
    <row r="1" spans="1:12">
      <c r="B1" s="150"/>
      <c r="C1" s="150"/>
      <c r="D1" s="150"/>
      <c r="E1" s="150"/>
      <c r="F1" s="150"/>
      <c r="G1" s="150"/>
      <c r="H1" s="150"/>
      <c r="I1" s="150"/>
      <c r="J1" s="150"/>
      <c r="K1" s="150"/>
      <c r="L1" s="150"/>
    </row>
    <row r="2" spans="1:12">
      <c r="B2" s="150"/>
      <c r="C2" s="150"/>
      <c r="D2" s="150"/>
      <c r="E2" s="150"/>
      <c r="F2" s="150"/>
      <c r="G2" s="150"/>
      <c r="H2" s="150"/>
      <c r="I2" s="150"/>
      <c r="J2" s="150"/>
      <c r="K2" s="150"/>
      <c r="L2" s="150"/>
    </row>
    <row r="3" spans="1:12">
      <c r="B3" s="150"/>
      <c r="C3" s="150"/>
      <c r="D3" s="150"/>
      <c r="E3" s="150"/>
      <c r="F3" s="150"/>
      <c r="G3" s="150"/>
      <c r="H3" s="150"/>
      <c r="I3" s="150"/>
      <c r="J3" s="150"/>
      <c r="K3" s="150"/>
      <c r="L3" s="150"/>
    </row>
    <row r="4" spans="1:12">
      <c r="A4" s="153"/>
      <c r="B4" s="153"/>
      <c r="C4" s="153"/>
      <c r="D4" s="153"/>
      <c r="E4" s="153"/>
      <c r="F4" s="153"/>
      <c r="G4" s="153"/>
      <c r="H4" s="153"/>
      <c r="I4" s="153"/>
      <c r="J4" s="153"/>
      <c r="K4" s="153"/>
      <c r="L4" s="153"/>
    </row>
    <row r="5" spans="1:12">
      <c r="A5" s="154" t="s">
        <v>84</v>
      </c>
      <c r="B5" s="155" t="s">
        <v>85</v>
      </c>
      <c r="C5" s="156"/>
      <c r="D5" s="156"/>
      <c r="E5" s="156"/>
      <c r="F5" s="156"/>
      <c r="G5" s="156"/>
      <c r="H5" s="156"/>
      <c r="I5" s="156"/>
      <c r="J5" s="156"/>
      <c r="K5" s="157"/>
      <c r="L5" s="158"/>
    </row>
    <row r="6" spans="1:12">
      <c r="A6" s="154"/>
      <c r="B6" s="159"/>
      <c r="C6" s="156"/>
      <c r="D6" s="156"/>
      <c r="E6" s="156"/>
      <c r="F6" s="156"/>
      <c r="G6" s="156"/>
      <c r="H6" s="156"/>
      <c r="I6" s="156"/>
      <c r="J6" s="158"/>
      <c r="K6" s="158"/>
      <c r="L6" s="158"/>
    </row>
    <row r="35" spans="1:39">
      <c r="A35" s="160" t="s">
        <v>86</v>
      </c>
      <c r="B35" s="161"/>
      <c r="C35" s="156"/>
      <c r="D35" s="156"/>
      <c r="E35" s="156"/>
      <c r="F35" s="156"/>
      <c r="G35" s="156"/>
      <c r="H35" s="156"/>
      <c r="I35" s="156"/>
      <c r="J35" s="156"/>
      <c r="K35" s="156"/>
    </row>
    <row r="36" spans="1:39">
      <c r="A36" s="162" t="s">
        <v>87</v>
      </c>
      <c r="B36" s="163" t="s">
        <v>88</v>
      </c>
      <c r="C36" s="163"/>
      <c r="D36" s="163"/>
      <c r="E36" s="163"/>
      <c r="F36" s="163"/>
      <c r="G36" s="163"/>
      <c r="H36" s="163"/>
      <c r="I36" s="163"/>
      <c r="J36" s="163"/>
      <c r="K36" s="163"/>
    </row>
    <row r="37" spans="1:39">
      <c r="A37" s="160" t="s">
        <v>85</v>
      </c>
      <c r="B37" s="164" t="s">
        <v>89</v>
      </c>
      <c r="C37" s="164"/>
      <c r="D37" s="164"/>
      <c r="E37" s="164"/>
      <c r="F37" s="164"/>
      <c r="G37" s="164"/>
      <c r="H37" s="164"/>
      <c r="I37" s="164"/>
      <c r="J37" s="164"/>
      <c r="K37" s="164"/>
    </row>
    <row r="38" spans="1:39">
      <c r="A38" s="165"/>
      <c r="B38" s="166"/>
      <c r="C38" s="166"/>
      <c r="D38" s="166"/>
      <c r="E38" s="166"/>
      <c r="F38" s="166"/>
      <c r="G38" s="166"/>
      <c r="H38" s="166"/>
      <c r="I38" s="166"/>
      <c r="J38" s="166"/>
      <c r="K38" s="166"/>
    </row>
    <row r="39" spans="1:39">
      <c r="A39" s="165"/>
      <c r="B39" s="166"/>
      <c r="C39" s="166"/>
      <c r="D39" s="166"/>
      <c r="E39" s="166"/>
      <c r="F39" s="166"/>
      <c r="G39" s="166"/>
      <c r="H39" s="166"/>
      <c r="I39" s="166"/>
      <c r="J39" s="166"/>
      <c r="K39" s="166"/>
    </row>
    <row r="40" spans="1:39">
      <c r="A40" s="165"/>
      <c r="B40" s="166"/>
      <c r="C40" s="166"/>
      <c r="D40" s="166"/>
      <c r="E40" s="166"/>
      <c r="F40" s="166"/>
      <c r="G40" s="166"/>
      <c r="H40" s="166"/>
      <c r="I40" s="166"/>
      <c r="J40" s="166"/>
      <c r="K40" s="166"/>
    </row>
    <row r="41" spans="1:39">
      <c r="A41" s="165"/>
      <c r="B41" s="166"/>
      <c r="C41" s="166"/>
      <c r="D41" s="166"/>
      <c r="E41" s="166"/>
      <c r="F41" s="166"/>
      <c r="G41" s="166"/>
      <c r="H41" s="166"/>
      <c r="I41" s="166"/>
      <c r="J41" s="166"/>
      <c r="K41" s="166"/>
    </row>
    <row r="42" spans="1:39">
      <c r="A42" s="165"/>
      <c r="B42" s="166"/>
      <c r="C42" s="166"/>
      <c r="D42" s="166"/>
      <c r="E42" s="166"/>
      <c r="F42" s="166"/>
      <c r="G42" s="166"/>
      <c r="H42" s="166"/>
      <c r="I42" s="166"/>
      <c r="J42" s="166"/>
      <c r="K42" s="166"/>
    </row>
    <row r="43" spans="1:39">
      <c r="A43" s="165"/>
      <c r="B43" s="166"/>
      <c r="C43" s="166"/>
      <c r="D43" s="166"/>
      <c r="E43" s="166"/>
      <c r="F43" s="166"/>
      <c r="G43" s="166"/>
      <c r="H43" s="166"/>
      <c r="I43" s="166"/>
      <c r="J43" s="166"/>
      <c r="K43" s="166"/>
    </row>
    <row r="44" ht="15" spans="1:39">
      <c r="A44" s="165"/>
      <c r="B44" s="166"/>
      <c r="C44" s="166"/>
      <c r="D44" s="166"/>
      <c r="E44" s="166"/>
      <c r="F44" s="166"/>
      <c r="G44" s="166"/>
      <c r="H44" s="166"/>
      <c r="I44" s="166"/>
      <c r="J44" s="166"/>
      <c r="K44" s="166"/>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row>
    <row r="45" spans="1:39">
      <c r="A45" s="165"/>
      <c r="B45" s="166"/>
      <c r="C45" s="166"/>
      <c r="D45" s="166"/>
      <c r="E45" s="166"/>
      <c r="F45" s="166"/>
      <c r="G45" s="166"/>
      <c r="H45" s="166"/>
      <c r="I45" s="166"/>
      <c r="J45" s="166"/>
      <c r="K45" s="166"/>
    </row>
    <row r="46" spans="1:39">
      <c r="A46" s="165"/>
      <c r="B46" s="166"/>
      <c r="C46" s="166"/>
      <c r="D46" s="166"/>
      <c r="E46" s="166"/>
      <c r="F46" s="166"/>
      <c r="G46" s="166"/>
      <c r="H46" s="166"/>
      <c r="I46" s="166"/>
      <c r="J46" s="166"/>
      <c r="K46" s="166"/>
    </row>
    <row r="47" spans="1:39">
      <c r="A47" s="165"/>
      <c r="B47" s="166"/>
    </row>
  </sheetData>
  <sheetProtection algorithmName="SHA-512" hashValue="rCkc88BxOJWQBe78FPqt7ICVbVz8nKNKE2ce/WFibG/yE/6MwiXhVzvzNZ/2E2b/sxv5Bcf6aJyMuWEv2OSzgw==" saltValue="2OMgcJZhoSr8okNqcdjVFg==" spinCount="100000" sheet="1" selectLockedCells="1" objects="1" scenarios="1"/>
  <mergeCells count="5">
    <mergeCell ref="A4:L4"/>
    <mergeCell ref="B36:K36"/>
    <mergeCell ref="B37:K37"/>
    <mergeCell ref="B38:K38"/>
    <mergeCell ref="A1:L3"/>
  </mergeCells>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Q263"/>
  <sheetViews>
    <sheetView zoomScale="85" zoomScaleNormal="85" workbookViewId="0">
      <pane ySplit="5" topLeftCell="A6" activePane="bottomLeft" state="frozen"/>
      <selection/>
      <selection pane="bottomLeft" activeCell="C247" sqref="C247"/>
    </sheetView>
  </sheetViews>
  <sheetFormatPr defaultColWidth="9" defaultRowHeight="15"/>
  <cols>
    <col min="1" max="1" width="28.8571428571429" customWidth="1"/>
    <col min="2" max="2" width="19.5714285714286" customWidth="1"/>
    <col min="3" max="3" width="10.8571428571429" customWidth="1"/>
    <col min="4" max="4" width="10" customWidth="1"/>
    <col min="5" max="5" width="18.5714285714286" customWidth="1"/>
    <col min="6" max="6" width="14.8571428571429" customWidth="1"/>
    <col min="7" max="7" width="15.1428571428571" customWidth="1"/>
    <col min="8" max="8" width="12.5714285714286" customWidth="1"/>
    <col min="9" max="9" width="12.5714285714286" customWidth="1"/>
    <col min="12" max="12" width="12.4285714285714" customWidth="1"/>
  </cols>
  <sheetData>
    <row r="1" ht="27.75" spans="1:17">
      <c r="A1" s="1" t="s">
        <v>90</v>
      </c>
      <c r="B1" s="1"/>
      <c r="C1" s="1"/>
      <c r="D1" s="1"/>
      <c r="E1" s="1"/>
      <c r="F1" s="1"/>
      <c r="G1" s="1"/>
      <c r="H1" s="1"/>
      <c r="I1" s="1"/>
      <c r="J1" s="1"/>
    </row>
    <row r="2" spans="1:17">
      <c r="A2" s="2"/>
      <c r="B2" s="2" t="s">
        <v>91</v>
      </c>
      <c r="C2" s="3"/>
      <c r="D2" s="4"/>
      <c r="E2" s="2"/>
      <c r="F2" s="2"/>
      <c r="G2" s="2"/>
      <c r="H2" s="2"/>
      <c r="I2" s="2"/>
      <c r="J2" s="2"/>
    </row>
    <row r="3" spans="1:17">
      <c r="A3" s="2"/>
      <c r="B3" s="2" t="s">
        <v>92</v>
      </c>
      <c r="C3" s="5"/>
      <c r="D3" s="4"/>
      <c r="E3" s="2"/>
      <c r="F3" s="20" t="s">
        <v>93</v>
      </c>
      <c r="G3" s="21" t="s">
        <v>94</v>
      </c>
      <c r="H3" s="22" t="s">
        <v>95</v>
      </c>
      <c r="I3" s="2"/>
      <c r="J3" s="2"/>
    </row>
    <row r="4" spans="1:17">
      <c r="A4" s="2"/>
      <c r="B4" s="2" t="s">
        <v>96</v>
      </c>
      <c r="C4" s="6"/>
      <c r="D4" s="4"/>
      <c r="E4" s="2"/>
      <c r="F4" s="2"/>
      <c r="G4" s="2"/>
      <c r="H4" s="2"/>
      <c r="I4" s="2"/>
      <c r="J4" s="2"/>
    </row>
    <row r="5" spans="1:17">
      <c r="A5" s="7" t="s">
        <v>97</v>
      </c>
      <c r="B5" s="7" t="s">
        <v>98</v>
      </c>
      <c r="C5" s="7" t="s">
        <v>99</v>
      </c>
      <c r="D5" s="4"/>
      <c r="E5" s="8" t="s">
        <v>100</v>
      </c>
      <c r="F5" s="8"/>
      <c r="G5" s="8"/>
      <c r="H5" s="8"/>
      <c r="I5" s="8"/>
      <c r="J5" s="41" t="s">
        <v>101</v>
      </c>
      <c r="K5" s="7" t="s">
        <v>102</v>
      </c>
      <c r="L5" s="4"/>
      <c r="M5" s="4"/>
      <c r="N5" s="4"/>
      <c r="O5" s="4"/>
      <c r="P5" s="4"/>
      <c r="Q5" s="4"/>
    </row>
    <row r="6" ht="15.75" spans="1:17">
      <c r="A6" s="116" t="s">
        <v>103</v>
      </c>
      <c r="B6" s="117"/>
      <c r="C6" s="117"/>
      <c r="D6" s="117"/>
      <c r="E6" s="118"/>
      <c r="F6" s="118"/>
      <c r="G6" s="118"/>
      <c r="H6" s="118"/>
      <c r="I6" s="118"/>
      <c r="J6" s="117"/>
      <c r="K6" s="4"/>
      <c r="L6" s="4"/>
      <c r="M6" s="4"/>
      <c r="N6" s="4"/>
      <c r="O6" s="4"/>
      <c r="P6" s="4"/>
      <c r="Q6" s="4"/>
    </row>
    <row r="7" spans="1:17">
      <c r="A7" t="s">
        <v>104</v>
      </c>
      <c r="B7" s="15">
        <f>'Design Converter'!H7</f>
        <v>3</v>
      </c>
      <c r="C7" t="s">
        <v>7</v>
      </c>
      <c r="E7" t="s">
        <v>105</v>
      </c>
    </row>
    <row r="8" spans="1:17">
      <c r="A8" t="s">
        <v>106</v>
      </c>
      <c r="B8" s="15">
        <f>'Design Converter'!H8</f>
        <v>3.7</v>
      </c>
      <c r="C8" t="s">
        <v>7</v>
      </c>
      <c r="E8" t="s">
        <v>107</v>
      </c>
      <c r="K8">
        <f>IF(VIN_min&lt;VIN_min,1,IF(VIN_nom&gt;VIN_max,1,0))</f>
        <v>0</v>
      </c>
    </row>
    <row r="9" spans="1:17">
      <c r="A9" t="s">
        <v>108</v>
      </c>
      <c r="B9" s="15">
        <f>'Design Converter'!H9</f>
        <v>9</v>
      </c>
      <c r="C9" t="s">
        <v>7</v>
      </c>
      <c r="E9" t="s">
        <v>109</v>
      </c>
    </row>
    <row r="10" customFormat="1" spans="1:17">
      <c r="A10" t="s">
        <v>110</v>
      </c>
      <c r="B10" s="15">
        <f>'Design Converter'!H12*1000</f>
        <v>750000</v>
      </c>
      <c r="C10" t="s">
        <v>111</v>
      </c>
      <c r="E10" t="s">
        <v>112</v>
      </c>
    </row>
    <row r="11" customFormat="1" spans="1:17">
      <c r="A11" t="s">
        <v>113</v>
      </c>
      <c r="B11" s="89">
        <f>(4.503*10^11)*Fsw^-1.26</f>
        <v>17820.6998315757</v>
      </c>
      <c r="C11" s="16" t="s">
        <v>35</v>
      </c>
      <c r="E11" t="s">
        <v>114</v>
      </c>
    </row>
    <row r="13" spans="1:17">
      <c r="A13" t="s">
        <v>115</v>
      </c>
      <c r="B13" s="15">
        <f>'Design Converter'!H10</f>
        <v>10</v>
      </c>
      <c r="C13" t="s">
        <v>7</v>
      </c>
      <c r="E13" t="s">
        <v>116</v>
      </c>
    </row>
    <row r="14" spans="1:17">
      <c r="A14" t="s">
        <v>117</v>
      </c>
      <c r="B14" s="15">
        <f>'Design Converter'!H11</f>
        <v>2</v>
      </c>
      <c r="C14" t="s">
        <v>12</v>
      </c>
      <c r="E14" t="s">
        <v>118</v>
      </c>
    </row>
    <row r="15" spans="1:17">
      <c r="A15" t="s">
        <v>119</v>
      </c>
      <c r="B15" s="12">
        <f>VOUT/IOUT</f>
        <v>5</v>
      </c>
      <c r="C15" s="16" t="s">
        <v>35</v>
      </c>
      <c r="E15" t="s">
        <v>120</v>
      </c>
    </row>
    <row r="16" spans="1:17">
      <c r="A16" t="s">
        <v>121</v>
      </c>
      <c r="B16" s="12">
        <f>VOUT*IOUT</f>
        <v>20</v>
      </c>
      <c r="C16" s="16" t="s">
        <v>18</v>
      </c>
      <c r="E16" t="s">
        <v>122</v>
      </c>
    </row>
    <row r="17" spans="1:11">
      <c r="A17" t="s">
        <v>123</v>
      </c>
      <c r="B17" s="119">
        <v>1</v>
      </c>
      <c r="E17" t="s">
        <v>124</v>
      </c>
    </row>
    <row r="19" spans="1:11">
      <c r="A19" t="s">
        <v>125</v>
      </c>
      <c r="B19" s="12">
        <f>(VOUT)/(VIN_min+VOUT)</f>
        <v>0.769230769230769</v>
      </c>
      <c r="E19" t="s">
        <v>126</v>
      </c>
    </row>
    <row r="20" customFormat="1" spans="1:11">
      <c r="A20" t="s">
        <v>127</v>
      </c>
      <c r="B20" s="10">
        <f>Constants!B20</f>
        <v>0.97</v>
      </c>
      <c r="E20" t="s">
        <v>128</v>
      </c>
    </row>
    <row r="21" customFormat="1" spans="1:11">
      <c r="A21" t="s">
        <v>129</v>
      </c>
      <c r="B21" s="120">
        <f>IF(B19&gt;Dc_max_IC,1,0)</f>
        <v>0</v>
      </c>
      <c r="E21" t="s">
        <v>130</v>
      </c>
      <c r="K21">
        <f>B21</f>
        <v>0</v>
      </c>
    </row>
    <row r="22" customFormat="1" spans="1:11">
      <c r="E22" s="17" t="s">
        <v>131</v>
      </c>
    </row>
    <row r="23" customFormat="1" spans="1:11">
      <c r="E23" s="17"/>
    </row>
    <row r="24" customFormat="1" spans="1:11">
      <c r="A24" t="s">
        <v>132</v>
      </c>
      <c r="B24" s="85">
        <v>1</v>
      </c>
      <c r="E24" s="121" t="s">
        <v>133</v>
      </c>
    </row>
    <row r="26" spans="1:11">
      <c r="A26" s="122" t="s">
        <v>22</v>
      </c>
    </row>
    <row r="27" customFormat="1" spans="1:11">
      <c r="A27" s="123" t="s">
        <v>134</v>
      </c>
      <c r="E27" t="s">
        <v>135</v>
      </c>
    </row>
    <row r="28" spans="1:11">
      <c r="A28" t="s">
        <v>136</v>
      </c>
      <c r="B28" s="15">
        <f>'Design Converter'!H20/100</f>
        <v>0.6</v>
      </c>
      <c r="E28" t="s">
        <v>137</v>
      </c>
    </row>
    <row r="29" customFormat="1" spans="1:11">
      <c r="A29" t="s">
        <v>138</v>
      </c>
      <c r="B29" s="124">
        <f>(VIN_nom^2)/(2*ILrip*IOUT*Fsw*(VIN_nom+VOUT))</f>
        <v>5.551500405515e-7</v>
      </c>
      <c r="C29" t="s">
        <v>139</v>
      </c>
      <c r="E29" t="s">
        <v>140</v>
      </c>
    </row>
    <row r="31" customFormat="1" spans="1:11">
      <c r="A31" s="125" t="s">
        <v>141</v>
      </c>
      <c r="E31" t="s">
        <v>142</v>
      </c>
    </row>
    <row r="32" customFormat="1" spans="1:11">
      <c r="A32" s="121" t="s">
        <v>143</v>
      </c>
      <c r="B32" s="126">
        <v>0.7</v>
      </c>
      <c r="E32" t="s">
        <v>144</v>
      </c>
    </row>
    <row r="33" customFormat="1" spans="1:5">
      <c r="A33" t="s">
        <v>145</v>
      </c>
      <c r="B33" s="124">
        <f>((DC_DCM_max^2)*(VIN_min^2))/(2*IOUT*VOUT*Fsw-2*IOUT*VIN_min*Fsw)</f>
        <v>2.1e-7</v>
      </c>
      <c r="C33" t="s">
        <v>139</v>
      </c>
      <c r="E33" t="s">
        <v>146</v>
      </c>
    </row>
    <row r="34" customFormat="1" spans="1:5">
      <c r="A34" t="s">
        <v>147</v>
      </c>
      <c r="B34" s="10">
        <v>0.2</v>
      </c>
      <c r="E34" t="s">
        <v>148</v>
      </c>
    </row>
    <row r="35" customFormat="1" spans="1:5">
      <c r="A35" t="s">
        <v>149</v>
      </c>
      <c r="B35" s="124">
        <f>(1-M_L_DCM)*((VIN_min^2)*(1-(VIN_min/VOUT)))/(2*IOUT*VOUT*Fsw)</f>
        <v>1.68e-7</v>
      </c>
      <c r="C35" t="s">
        <v>139</v>
      </c>
      <c r="E35" t="s">
        <v>150</v>
      </c>
    </row>
    <row r="36" customFormat="1" spans="1:5">
      <c r="A36" t="s">
        <v>151</v>
      </c>
      <c r="B36" s="124">
        <f>MIN(B33,B35)</f>
        <v>1.68e-7</v>
      </c>
      <c r="C36" t="s">
        <v>139</v>
      </c>
      <c r="E36" t="s">
        <v>152</v>
      </c>
    </row>
    <row r="37" customFormat="1" spans="1:5">
      <c r="B37" s="127"/>
    </row>
    <row r="38" customFormat="1" spans="1:5">
      <c r="A38" t="s">
        <v>153</v>
      </c>
      <c r="B38" s="124">
        <f>IF(B21=1,B36,Lopt_2)</f>
        <v>5.551500405515e-7</v>
      </c>
      <c r="E38" t="s">
        <v>154</v>
      </c>
    </row>
    <row r="39" customFormat="1"/>
    <row r="40" spans="1:5">
      <c r="A40" t="s">
        <v>155</v>
      </c>
      <c r="B40" s="128">
        <f>'Design Converter'!H22*10^-6</f>
        <v>1e-5</v>
      </c>
      <c r="C40" t="s">
        <v>139</v>
      </c>
      <c r="E40" t="s">
        <v>156</v>
      </c>
    </row>
    <row r="41" customFormat="1" spans="1:5">
      <c r="B41" s="128">
        <f>Lm</f>
        <v>1e-5</v>
      </c>
      <c r="E41" t="s">
        <v>157</v>
      </c>
    </row>
    <row r="42" customFormat="1" ht="15.6" customHeight="1" spans="1:5">
      <c r="A42" t="s">
        <v>158</v>
      </c>
      <c r="B42" s="129">
        <f>Lm</f>
        <v>1e-5</v>
      </c>
      <c r="E42" t="s">
        <v>159</v>
      </c>
    </row>
    <row r="43" customFormat="1" ht="15.6" customHeight="1" spans="1:5">
      <c r="B43" s="128">
        <f>Lm</f>
        <v>1e-5</v>
      </c>
      <c r="E43" t="s">
        <v>157</v>
      </c>
    </row>
    <row r="44" customFormat="1" spans="1:5">
      <c r="A44" t="s">
        <v>160</v>
      </c>
      <c r="B44" s="129">
        <f>Lm</f>
        <v>1e-5</v>
      </c>
      <c r="E44" t="s">
        <v>161</v>
      </c>
    </row>
    <row r="45" customFormat="1" spans="1:5">
      <c r="B45" s="129"/>
    </row>
    <row r="46" spans="1:5">
      <c r="A46" t="s">
        <v>162</v>
      </c>
      <c r="B46" s="15">
        <f>10*10^-3</f>
        <v>0.01</v>
      </c>
      <c r="C46" s="16" t="s">
        <v>35</v>
      </c>
      <c r="E46" t="s">
        <v>163</v>
      </c>
    </row>
    <row r="47" customFormat="1" spans="1:5">
      <c r="A47" t="s">
        <v>164</v>
      </c>
      <c r="B47" s="10">
        <v>0.2</v>
      </c>
      <c r="C47" s="16"/>
      <c r="E47" t="s">
        <v>165</v>
      </c>
    </row>
    <row r="48" spans="1:5">
      <c r="B48" t="s">
        <v>166</v>
      </c>
    </row>
    <row r="49" customFormat="1" spans="1:5">
      <c r="A49" s="17" t="s">
        <v>167</v>
      </c>
    </row>
    <row r="50" customFormat="1"/>
    <row r="51" customFormat="1" spans="1:5">
      <c r="A51" s="130" t="s">
        <v>168</v>
      </c>
    </row>
    <row r="52" customFormat="1" spans="1:5">
      <c r="A52" t="s">
        <v>169</v>
      </c>
      <c r="B52">
        <v>1</v>
      </c>
      <c r="E52" t="s">
        <v>170</v>
      </c>
    </row>
    <row r="53" customFormat="1" spans="1:5">
      <c r="A53" t="s">
        <v>171</v>
      </c>
      <c r="B53" s="131">
        <f>IF(B52=0,SQRT((2*IOUT*Lm*Fsw*VOUT/(VIN_min^2))),(VOUT/(VIN_min+VOUT)))</f>
        <v>0.769230769230769</v>
      </c>
      <c r="E53" t="s">
        <v>172</v>
      </c>
    </row>
    <row r="54" customFormat="1" spans="1:5">
      <c r="B54" s="11">
        <f>B53/Fsw</f>
        <v>1.02564102564103e-6</v>
      </c>
      <c r="C54" t="s">
        <v>173</v>
      </c>
      <c r="E54" t="s">
        <v>174</v>
      </c>
    </row>
    <row r="55" customFormat="1" spans="1:5">
      <c r="A55" s="132" t="s">
        <v>175</v>
      </c>
      <c r="B55" s="133"/>
    </row>
    <row r="56" customFormat="1" spans="1:5">
      <c r="A56" t="s">
        <v>176</v>
      </c>
      <c r="B56" s="90">
        <f>(VOUT*IOUT)/(VIN_min)</f>
        <v>6.66666666666667</v>
      </c>
      <c r="C56" t="s">
        <v>12</v>
      </c>
      <c r="E56" t="s">
        <v>177</v>
      </c>
    </row>
    <row r="57" customFormat="1" spans="1:5">
      <c r="A57" t="s">
        <v>178</v>
      </c>
      <c r="B57" s="88">
        <f>(VIN_min*Dc_VIN_min)/(Lm_A*Fsw)</f>
        <v>0.307692307692308</v>
      </c>
      <c r="C57" t="s">
        <v>12</v>
      </c>
      <c r="E57" t="s">
        <v>179</v>
      </c>
    </row>
    <row r="58" spans="1:5">
      <c r="A58" t="s">
        <v>180</v>
      </c>
      <c r="B58" s="88">
        <f>IF(B52=0,(VIN_min*Dc_VIN_min)/(Lm*Fsw),(ILA_avg_VIN_min/EFF_est)+(ILArip_VINmin/2))</f>
        <v>6.82051282051282</v>
      </c>
      <c r="C58" t="s">
        <v>12</v>
      </c>
      <c r="E58" t="s">
        <v>181</v>
      </c>
    </row>
    <row r="59" customFormat="1" spans="1:5">
      <c r="B59" s="11"/>
    </row>
    <row r="60" customFormat="1" spans="1:5">
      <c r="A60" s="132" t="s">
        <v>182</v>
      </c>
      <c r="B60" s="11"/>
      <c r="E60" t="s">
        <v>183</v>
      </c>
    </row>
    <row r="61" customFormat="1" spans="1:5">
      <c r="A61" t="s">
        <v>184</v>
      </c>
      <c r="B61" s="11">
        <f>IOUT</f>
        <v>2</v>
      </c>
      <c r="C61" t="s">
        <v>12</v>
      </c>
    </row>
    <row r="62" customFormat="1" spans="1:5">
      <c r="A62" t="s">
        <v>185</v>
      </c>
      <c r="B62" s="11">
        <f>(VIN_min*Dc_VIN_min)/(Lm*Fsw)</f>
        <v>0.307692307692308</v>
      </c>
      <c r="C62" t="s">
        <v>12</v>
      </c>
    </row>
    <row r="63" customFormat="1" spans="1:5">
      <c r="A63" t="s">
        <v>186</v>
      </c>
      <c r="B63" s="11">
        <f>B61+B62/2</f>
        <v>2.15384615384615</v>
      </c>
      <c r="C63" t="s">
        <v>12</v>
      </c>
    </row>
    <row r="64" customFormat="1" spans="1:5">
      <c r="B64" s="88"/>
    </row>
    <row r="65" customFormat="1" spans="1:5">
      <c r="A65" s="132" t="s">
        <v>187</v>
      </c>
      <c r="B65" s="134"/>
    </row>
    <row r="66" customFormat="1" spans="1:5">
      <c r="A66" t="s">
        <v>188</v>
      </c>
      <c r="B66" s="88">
        <f>ILA_avg_VIN_min+B61+B62</f>
        <v>8.97435897435898</v>
      </c>
      <c r="C66" t="s">
        <v>12</v>
      </c>
    </row>
    <row r="67" customFormat="1" spans="1:5">
      <c r="B67" s="134"/>
    </row>
    <row r="68" customFormat="1" spans="1:5">
      <c r="A68" s="130" t="s">
        <v>107</v>
      </c>
      <c r="B68" s="13"/>
    </row>
    <row r="69" customFormat="1" spans="1:5">
      <c r="A69" t="s">
        <v>189</v>
      </c>
      <c r="B69">
        <f>IF(((VIN_nom^2)*VOUT)/(2*Fsw*Lm*((VIN_nom+VOUT)^2))&gt;IOUT,0,1)</f>
        <v>1</v>
      </c>
      <c r="E69" t="s">
        <v>190</v>
      </c>
    </row>
    <row r="70" customFormat="1" spans="1:5">
      <c r="A70" t="s">
        <v>191</v>
      </c>
      <c r="B70" s="12">
        <f>IF(B52=0,SQRT((2*IOUT*Lm*Fsw*VOUT/(VIN_nom^2))),(VOUT/(VIN_nom+VOUT)))</f>
        <v>0.72992700729927</v>
      </c>
      <c r="E70" t="s">
        <v>192</v>
      </c>
    </row>
    <row r="71" customFormat="1" spans="1:5">
      <c r="B71" s="11">
        <f>B70/Fsw</f>
        <v>9.7323600973236e-7</v>
      </c>
      <c r="C71" t="s">
        <v>173</v>
      </c>
      <c r="E71" t="s">
        <v>174</v>
      </c>
    </row>
    <row r="72" customFormat="1" spans="1:5">
      <c r="A72" s="132" t="s">
        <v>175</v>
      </c>
      <c r="B72" s="133"/>
    </row>
    <row r="73" customFormat="1" spans="1:5">
      <c r="A73" t="s">
        <v>193</v>
      </c>
      <c r="B73" s="90">
        <f>(VOUT*IOUT)/(VIN_nom)</f>
        <v>5.40540540540541</v>
      </c>
      <c r="C73" t="s">
        <v>12</v>
      </c>
      <c r="E73" t="s">
        <v>194</v>
      </c>
    </row>
    <row r="74" spans="1:5">
      <c r="A74" t="s">
        <v>195</v>
      </c>
      <c r="B74" s="88">
        <f>(VIN_nom*Dc_VIN_nom)/(Lm*Fsw)</f>
        <v>0.360097323600973</v>
      </c>
      <c r="C74" t="s">
        <v>12</v>
      </c>
      <c r="E74" t="s">
        <v>196</v>
      </c>
    </row>
    <row r="75" spans="1:5">
      <c r="A75" t="s">
        <v>197</v>
      </c>
      <c r="B75" s="88">
        <f>IF(B69=0,(VIN_nom*Dc_VIN_nom)/(Lm*Fsw),(ILA_avg_VIN_nom/EFF_est)+(ILArip_VINnom/2))</f>
        <v>5.58545406720589</v>
      </c>
      <c r="C75" t="s">
        <v>12</v>
      </c>
      <c r="E75" t="s">
        <v>198</v>
      </c>
    </row>
    <row r="76" customFormat="1" spans="1:5">
      <c r="B76" s="134"/>
    </row>
    <row r="77" customFormat="1" spans="1:5">
      <c r="A77" s="132" t="s">
        <v>182</v>
      </c>
      <c r="B77" s="133"/>
    </row>
    <row r="78" customFormat="1" spans="1:5">
      <c r="A78" t="s">
        <v>199</v>
      </c>
      <c r="B78" s="11">
        <f>IOUT</f>
        <v>2</v>
      </c>
      <c r="C78" t="s">
        <v>12</v>
      </c>
      <c r="E78" t="s">
        <v>183</v>
      </c>
    </row>
    <row r="79" customFormat="1" spans="1:5">
      <c r="A79" t="s">
        <v>200</v>
      </c>
      <c r="B79" s="11">
        <f>(VIN_nom*Dc_VIN_nom)/(Lm*Fsw)</f>
        <v>0.360097323600973</v>
      </c>
      <c r="C79" t="s">
        <v>12</v>
      </c>
    </row>
    <row r="80" customFormat="1" spans="1:5">
      <c r="A80" t="s">
        <v>201</v>
      </c>
      <c r="B80" s="11">
        <f>B78+B79/2</f>
        <v>2.18004866180049</v>
      </c>
      <c r="C80" t="s">
        <v>12</v>
      </c>
    </row>
    <row r="81" customFormat="1" spans="1:5">
      <c r="B81" s="134"/>
    </row>
    <row r="82" customFormat="1" spans="1:5">
      <c r="A82" s="132" t="s">
        <v>187</v>
      </c>
      <c r="B82" s="134"/>
    </row>
    <row r="83" customFormat="1" spans="1:5">
      <c r="A83" t="s">
        <v>202</v>
      </c>
      <c r="B83" s="88">
        <f>ILA_avg_VIN_nom+B78+B79</f>
        <v>7.76550272900638</v>
      </c>
      <c r="C83" t="s">
        <v>12</v>
      </c>
    </row>
    <row r="84" customFormat="1" spans="1:5">
      <c r="B84" s="13"/>
    </row>
    <row r="85" customFormat="1" spans="1:5">
      <c r="A85" s="130" t="s">
        <v>109</v>
      </c>
      <c r="B85" s="13"/>
    </row>
    <row r="86" customFormat="1" spans="1:5">
      <c r="A86" t="s">
        <v>203</v>
      </c>
      <c r="B86">
        <f>IF(((VIN_nom^2)*VOUT)/(2*Fsw*Lm*((VIN_nom+VOUT)^2))&gt;IOUT,0,1)</f>
        <v>1</v>
      </c>
      <c r="E86" t="s">
        <v>190</v>
      </c>
    </row>
    <row r="87" customFormat="1" spans="1:5">
      <c r="A87" t="s">
        <v>204</v>
      </c>
      <c r="B87" s="12">
        <f>IF(B86=0,SQRT((2*IOUT*Lm*Fsw*VOUT/(VIN_max^2))),(VOUT/(VIN_max+VOUT)))</f>
        <v>0.526315789473684</v>
      </c>
      <c r="E87" t="s">
        <v>205</v>
      </c>
    </row>
    <row r="88" customFormat="1" spans="1:5">
      <c r="B88" s="11">
        <f>B87/Fsw</f>
        <v>7.01754385964912e-7</v>
      </c>
      <c r="C88" t="s">
        <v>173</v>
      </c>
      <c r="E88" t="s">
        <v>174</v>
      </c>
    </row>
    <row r="89" customFormat="1" spans="1:5">
      <c r="A89" s="132" t="s">
        <v>175</v>
      </c>
      <c r="B89" s="133"/>
    </row>
    <row r="90" customFormat="1" spans="1:5">
      <c r="A90" t="s">
        <v>206</v>
      </c>
      <c r="B90" s="90">
        <f>(VOUT*IOUT)/(VIN_max)</f>
        <v>2.22222222222222</v>
      </c>
      <c r="C90" t="s">
        <v>12</v>
      </c>
      <c r="E90" t="s">
        <v>207</v>
      </c>
    </row>
    <row r="91" spans="1:5">
      <c r="A91" t="s">
        <v>208</v>
      </c>
      <c r="B91" s="88">
        <f>(VIN_max*Dc_VIN_max)/(Lm*Fsw)</f>
        <v>0.631578947368421</v>
      </c>
      <c r="C91" t="s">
        <v>12</v>
      </c>
      <c r="E91" t="s">
        <v>209</v>
      </c>
    </row>
    <row r="92" spans="1:5">
      <c r="A92" t="s">
        <v>210</v>
      </c>
      <c r="B92" s="88">
        <f>ILA_avg_VIN_max+ILArip_VINmax/2</f>
        <v>2.53801169590643</v>
      </c>
      <c r="C92" t="s">
        <v>12</v>
      </c>
      <c r="E92" t="s">
        <v>211</v>
      </c>
    </row>
    <row r="94" customFormat="1" spans="1:5">
      <c r="A94" s="132" t="s">
        <v>182</v>
      </c>
      <c r="B94" s="133"/>
      <c r="E94" t="s">
        <v>183</v>
      </c>
    </row>
    <row r="95" customFormat="1" spans="1:5">
      <c r="A95" t="s">
        <v>212</v>
      </c>
      <c r="B95" s="11">
        <f>IOUT</f>
        <v>2</v>
      </c>
      <c r="C95" t="s">
        <v>12</v>
      </c>
    </row>
    <row r="96" customFormat="1" spans="1:5">
      <c r="A96" t="s">
        <v>213</v>
      </c>
      <c r="B96" s="11">
        <f>(VIN_max*Dc_VIN_max)/(Lm*Fsw)</f>
        <v>0.631578947368421</v>
      </c>
      <c r="C96" t="s">
        <v>12</v>
      </c>
    </row>
    <row r="97" customFormat="1" spans="1:5">
      <c r="A97" t="s">
        <v>214</v>
      </c>
      <c r="B97" s="11">
        <f>B95+B96/2</f>
        <v>2.31578947368421</v>
      </c>
      <c r="C97" t="s">
        <v>12</v>
      </c>
    </row>
    <row r="98" customFormat="1" spans="1:5">
      <c r="B98" s="88"/>
    </row>
    <row r="99" customFormat="1" spans="1:5">
      <c r="A99" s="132" t="s">
        <v>187</v>
      </c>
      <c r="B99" s="134"/>
    </row>
    <row r="100" customFormat="1" spans="1:5">
      <c r="A100" t="s">
        <v>215</v>
      </c>
      <c r="B100" s="88">
        <f>ILA_avg_VIN_max+B95+B96</f>
        <v>4.85380116959064</v>
      </c>
      <c r="C100" t="s">
        <v>12</v>
      </c>
    </row>
    <row r="101" customFormat="1" spans="1:5">
      <c r="B101" s="134"/>
    </row>
    <row r="102" spans="1:5">
      <c r="A102" s="122" t="s">
        <v>216</v>
      </c>
    </row>
    <row r="103" spans="1:5">
      <c r="A103" t="s">
        <v>217</v>
      </c>
      <c r="B103" s="15">
        <f>'Design Converter'!H26/100</f>
        <v>0.3</v>
      </c>
      <c r="E103" t="s">
        <v>218</v>
      </c>
    </row>
    <row r="104" spans="1:5">
      <c r="A104" t="s">
        <v>219</v>
      </c>
      <c r="B104" s="90">
        <f>(1+Ipk_margin)*ISW_peak_VIN_min</f>
        <v>11.6666666666667</v>
      </c>
      <c r="C104" t="s">
        <v>12</v>
      </c>
      <c r="E104" t="s">
        <v>220</v>
      </c>
    </row>
    <row r="105" customFormat="1" spans="1:5">
      <c r="B105" s="135"/>
    </row>
    <row r="106" customFormat="1" spans="1:5">
      <c r="A106" t="s">
        <v>221</v>
      </c>
      <c r="B106" s="10">
        <v>0.6</v>
      </c>
      <c r="E106" t="s">
        <v>222</v>
      </c>
    </row>
    <row r="107" spans="1:5">
      <c r="A107" t="s">
        <v>223</v>
      </c>
      <c r="B107" s="124">
        <f>(1/B106)*((Fsw*Isl*Rsl_int*Lm)/(VOUT))</f>
        <v>0.10625</v>
      </c>
      <c r="C107" s="16" t="s">
        <v>35</v>
      </c>
      <c r="E107" t="s">
        <v>224</v>
      </c>
    </row>
    <row r="108" spans="1:5">
      <c r="A108" t="s">
        <v>225</v>
      </c>
      <c r="B108" s="124">
        <f>Vcl/Ipk_selected</f>
        <v>0.0133714285714286</v>
      </c>
      <c r="C108" s="16" t="s">
        <v>35</v>
      </c>
      <c r="E108" t="s">
        <v>226</v>
      </c>
    </row>
    <row r="109" customFormat="1" spans="1:5">
      <c r="B109" s="13"/>
    </row>
    <row r="110" customFormat="1" spans="1:5">
      <c r="A110" t="s">
        <v>227</v>
      </c>
      <c r="B110" s="10">
        <v>0.833</v>
      </c>
      <c r="E110" t="s">
        <v>228</v>
      </c>
    </row>
    <row r="111" spans="1:5">
      <c r="A111" t="s">
        <v>229</v>
      </c>
      <c r="B111" s="136">
        <f>(Lm*Fsw*(Vcl+(Dc_VIN_min*Isl*Rsl_int)))/((Dc_VIN_min*Kslope*VOUT)+(Ipk_selected*Lm*Fsw))</f>
        <v>0.0176810288335518</v>
      </c>
      <c r="C111" s="16" t="s">
        <v>35</v>
      </c>
      <c r="E111" t="s">
        <v>230</v>
      </c>
    </row>
    <row r="112" spans="1:5">
      <c r="A112" t="s">
        <v>231</v>
      </c>
      <c r="B112" s="88">
        <f>(Vcl-(Ipk_selected*Rcs_w_sl))/(Isl*Dc_VIN_min)</f>
        <v>-1537.93577981651</v>
      </c>
      <c r="C112" s="16" t="s">
        <v>35</v>
      </c>
      <c r="E112" t="s">
        <v>232</v>
      </c>
    </row>
    <row r="114" spans="1:11">
      <c r="A114" t="s">
        <v>233</v>
      </c>
      <c r="B114" s="12">
        <f>IF(Rcs_wo_sl&gt;Rcs_max,1,0)</f>
        <v>0</v>
      </c>
      <c r="E114" t="s">
        <v>234</v>
      </c>
    </row>
    <row r="115" spans="1:11">
      <c r="A115" t="s">
        <v>235</v>
      </c>
      <c r="B115" s="137">
        <f>IF(B52=0,Rcs_wo_sl,IF(B114=0,Rcs_wo_sl,Rcs_w_sl))</f>
        <v>0.0133714285714286</v>
      </c>
      <c r="C115" s="16" t="s">
        <v>35</v>
      </c>
      <c r="E115" t="s">
        <v>236</v>
      </c>
    </row>
    <row r="116" spans="1:11">
      <c r="A116" t="s">
        <v>237</v>
      </c>
      <c r="B116" s="12">
        <f>IF(B52=0,0,IF(B114=0,0,B112))</f>
        <v>0</v>
      </c>
      <c r="C116" s="16" t="s">
        <v>35</v>
      </c>
      <c r="E116" t="s">
        <v>238</v>
      </c>
    </row>
    <row r="118" spans="1:11">
      <c r="A118" t="s">
        <v>239</v>
      </c>
      <c r="B118" s="138">
        <f>'Design Converter'!H30/1000</f>
        <v>0.05</v>
      </c>
      <c r="C118" s="16" t="s">
        <v>35</v>
      </c>
      <c r="E118" t="s">
        <v>240</v>
      </c>
    </row>
    <row r="119" spans="1:11">
      <c r="A119" t="s">
        <v>241</v>
      </c>
      <c r="B119" s="15">
        <f>'Design Converter'!H31</f>
        <v>0</v>
      </c>
      <c r="C119" s="16" t="s">
        <v>35</v>
      </c>
      <c r="E119" t="s">
        <v>242</v>
      </c>
    </row>
    <row r="121" spans="1:11">
      <c r="A121" t="s">
        <v>243</v>
      </c>
      <c r="B121" s="12">
        <f>(Isl*(Rsl_int+R_sl)*Fsw)/(((VOUT-VIN_min)/Lm)*R_cs)</f>
        <v>1.82142857142857</v>
      </c>
      <c r="C121" t="s">
        <v>244</v>
      </c>
      <c r="E121" t="s">
        <v>245</v>
      </c>
      <c r="K121">
        <f>IF(B69=0,0,IF(B121&lt;0.5,1,0))</f>
        <v>0</v>
      </c>
    </row>
    <row r="122" customFormat="1" spans="1:11">
      <c r="A122" t="s">
        <v>246</v>
      </c>
      <c r="B122" s="90">
        <f>(Vcl-(Isl*R_sl*Dc_VIN_min))/R_cs</f>
        <v>3.12</v>
      </c>
      <c r="C122" t="s">
        <v>12</v>
      </c>
      <c r="E122" t="s">
        <v>247</v>
      </c>
      <c r="K122">
        <f>IF(IL_pk&lt;Ipk_selected,1,0)</f>
        <v>1</v>
      </c>
    </row>
    <row r="123" spans="1:11">
      <c r="A123" t="s">
        <v>248</v>
      </c>
      <c r="B123" s="90">
        <f>(Vcl-(Isl*R_sl*Dc_VIN_max))/R_cs</f>
        <v>3.12</v>
      </c>
      <c r="C123" t="s">
        <v>12</v>
      </c>
      <c r="E123" t="s">
        <v>249</v>
      </c>
    </row>
    <row r="124" spans="1:11">
      <c r="A124" t="s">
        <v>250</v>
      </c>
      <c r="B124" s="12">
        <f>0.15</f>
        <v>0.15</v>
      </c>
      <c r="E124" t="s">
        <v>251</v>
      </c>
    </row>
    <row r="125" spans="1:11">
      <c r="A125" t="s">
        <v>252</v>
      </c>
      <c r="B125" s="88">
        <f>(1+B124)*B123</f>
        <v>3.588</v>
      </c>
      <c r="C125" t="s">
        <v>12</v>
      </c>
      <c r="E125" t="s">
        <v>253</v>
      </c>
    </row>
    <row r="127" spans="1:11">
      <c r="A127" s="130" t="s">
        <v>254</v>
      </c>
    </row>
    <row r="129" customFormat="1" spans="1:5">
      <c r="A129" s="139" t="s">
        <v>255</v>
      </c>
    </row>
    <row r="130" customFormat="1" spans="1:5">
      <c r="A130" t="s">
        <v>256</v>
      </c>
      <c r="B130" s="10">
        <v>0.05</v>
      </c>
    </row>
    <row r="131" customFormat="1" spans="1:5">
      <c r="A131" t="s">
        <v>257</v>
      </c>
      <c r="B131" s="12">
        <f>IOUT*Dc_VIN_min/(VIN_max*VCrr*Fsw)</f>
        <v>4.55840455840456e-6</v>
      </c>
      <c r="C131" t="s">
        <v>258</v>
      </c>
      <c r="E131" t="s">
        <v>259</v>
      </c>
    </row>
    <row r="132" customFormat="1" spans="1:5">
      <c r="A132" t="s">
        <v>260</v>
      </c>
      <c r="B132" s="85">
        <f>'Design Converter'!H36*(10^-6)</f>
        <v>1e-5</v>
      </c>
      <c r="C132" t="s">
        <v>258</v>
      </c>
      <c r="E132" t="s">
        <v>261</v>
      </c>
    </row>
    <row r="133" customFormat="1" spans="1:5">
      <c r="A133" t="s">
        <v>262</v>
      </c>
      <c r="B133" s="90">
        <f>(IOUT*Dc_VIN_min)/(Cac*Fsw)</f>
        <v>0.205128205128205</v>
      </c>
      <c r="C133" t="s">
        <v>7</v>
      </c>
      <c r="E133" t="s">
        <v>263</v>
      </c>
    </row>
    <row r="134" customFormat="1" spans="1:5">
      <c r="A134" t="s">
        <v>264</v>
      </c>
      <c r="B134" s="90">
        <f>IOUT*SQRT(VOUT/VIN_min)</f>
        <v>3.65148371670111</v>
      </c>
      <c r="C134" t="s">
        <v>12</v>
      </c>
      <c r="E134" t="s">
        <v>265</v>
      </c>
    </row>
    <row r="135" customFormat="1"/>
    <row r="137" spans="1:5">
      <c r="A137" s="139" t="s">
        <v>44</v>
      </c>
      <c r="E137" t="s">
        <v>266</v>
      </c>
    </row>
    <row r="139" customFormat="1" spans="1:5">
      <c r="A139" t="s">
        <v>267</v>
      </c>
      <c r="B139" s="12">
        <f>IF(B52=0,Fsw/20,(((VOUT/IOUT)*((1-Dc_VIN_min)^2))/(Lm*Dc_VIN_min))/6)</f>
        <v>5769.23076923077</v>
      </c>
      <c r="C139" t="s">
        <v>268</v>
      </c>
      <c r="E139" t="s">
        <v>269</v>
      </c>
    </row>
    <row r="140" spans="1:5">
      <c r="A140" t="s">
        <v>270</v>
      </c>
      <c r="B140" s="85">
        <f>'Design Converter'!H40/1000</f>
        <v>0.5</v>
      </c>
      <c r="C140" t="s">
        <v>7</v>
      </c>
      <c r="E140" t="s">
        <v>271</v>
      </c>
    </row>
    <row r="141" customFormat="1" spans="1:5">
      <c r="A141" t="s">
        <v>272</v>
      </c>
      <c r="B141" s="12">
        <f>IOUT-0.5*IOUT</f>
        <v>1</v>
      </c>
      <c r="C141" t="s">
        <v>12</v>
      </c>
    </row>
    <row r="142" spans="1:5">
      <c r="A142" t="s">
        <v>273</v>
      </c>
      <c r="B142" s="12">
        <f>B141/(Vout_rip_sel*B139)</f>
        <v>0.000346666666666667</v>
      </c>
      <c r="C142" t="s">
        <v>258</v>
      </c>
      <c r="E142" t="s">
        <v>274</v>
      </c>
    </row>
    <row r="143" spans="1:5">
      <c r="A143" t="s">
        <v>275</v>
      </c>
      <c r="B143" s="88">
        <f>IOUT*SQRT(VOUT/VIN_min)</f>
        <v>3.65148371670111</v>
      </c>
      <c r="C143" t="s">
        <v>12</v>
      </c>
      <c r="E143" t="s">
        <v>276</v>
      </c>
    </row>
    <row r="144" spans="1:5">
      <c r="A144" t="s">
        <v>277</v>
      </c>
      <c r="B144" s="15">
        <f>'Design Converter'!H43*(10^-6)</f>
        <v>0.0001</v>
      </c>
      <c r="C144" t="s">
        <v>258</v>
      </c>
      <c r="E144" t="s">
        <v>278</v>
      </c>
    </row>
    <row r="145" spans="1:6">
      <c r="A145" t="s">
        <v>279</v>
      </c>
      <c r="B145" s="15">
        <f>'Design Converter'!H44/1000</f>
        <v>0.002</v>
      </c>
      <c r="C145" s="16" t="s">
        <v>35</v>
      </c>
      <c r="E145" t="s">
        <v>280</v>
      </c>
    </row>
    <row r="146" customFormat="1"/>
    <row r="147" customFormat="1" spans="1:6">
      <c r="A147" s="139" t="s">
        <v>281</v>
      </c>
    </row>
    <row r="148" customFormat="1" spans="1:6">
      <c r="A148" t="s">
        <v>282</v>
      </c>
      <c r="B148" s="10">
        <f>Iss</f>
        <v>4</v>
      </c>
      <c r="C148" t="s">
        <v>283</v>
      </c>
      <c r="E148" t="s">
        <v>284</v>
      </c>
    </row>
    <row r="149" customFormat="1" spans="1:6">
      <c r="A149" s="140"/>
      <c r="B149" s="140"/>
      <c r="C149" s="140"/>
      <c r="D149" s="140"/>
      <c r="E149" s="140"/>
      <c r="F149" s="140"/>
    </row>
    <row r="150" customFormat="1" spans="1:6">
      <c r="A150" s="140"/>
      <c r="B150" s="140"/>
      <c r="C150" s="140"/>
      <c r="D150" s="140"/>
      <c r="E150" s="140"/>
      <c r="F150" s="140"/>
    </row>
    <row r="151" customFormat="1" spans="1:6">
      <c r="A151" s="140"/>
      <c r="B151" s="140"/>
      <c r="C151" s="140"/>
      <c r="D151" s="140"/>
      <c r="E151" s="140"/>
      <c r="F151" s="140"/>
    </row>
    <row r="152" customFormat="1"/>
    <row r="153" customFormat="1" spans="1:6">
      <c r="A153" s="139" t="s">
        <v>285</v>
      </c>
    </row>
    <row r="154" customFormat="1" spans="1:6">
      <c r="A154" s="13" t="s">
        <v>286</v>
      </c>
      <c r="B154" s="13"/>
      <c r="C154" s="13"/>
      <c r="D154" s="13"/>
      <c r="E154" s="13"/>
    </row>
    <row r="155" customFormat="1" spans="1:6">
      <c r="A155" s="13"/>
      <c r="B155" s="13"/>
      <c r="C155" s="13"/>
      <c r="D155" s="13"/>
      <c r="E155" s="13"/>
    </row>
    <row r="156" customFormat="1" spans="1:6">
      <c r="A156" s="13"/>
      <c r="B156" s="13"/>
      <c r="C156" s="13"/>
      <c r="D156" s="13"/>
      <c r="E156" s="13"/>
    </row>
    <row r="157" customFormat="1" spans="1:6">
      <c r="A157" s="13"/>
      <c r="B157" s="13"/>
      <c r="C157" s="13"/>
      <c r="D157" s="13"/>
      <c r="E157" s="13"/>
    </row>
    <row r="158" customFormat="1" spans="1:6">
      <c r="A158" s="13"/>
      <c r="B158" s="13"/>
      <c r="C158" s="13"/>
      <c r="D158" s="13"/>
      <c r="E158" s="13"/>
    </row>
    <row r="159" customFormat="1" spans="1:6">
      <c r="A159" s="13"/>
      <c r="B159" s="141"/>
      <c r="C159" s="142"/>
      <c r="D159" s="13"/>
      <c r="E159" s="13"/>
    </row>
    <row r="160" customFormat="1" spans="1:6">
      <c r="A160" s="13"/>
      <c r="B160" s="13"/>
      <c r="C160" s="142"/>
      <c r="D160" s="13"/>
      <c r="E160" s="13"/>
    </row>
    <row r="161" customFormat="1" spans="1:5">
      <c r="A161" s="13"/>
      <c r="B161" s="141"/>
      <c r="C161" s="142"/>
      <c r="D161" s="13"/>
      <c r="E161" s="13"/>
    </row>
    <row r="162" customFormat="1" spans="1:5">
      <c r="A162" s="13"/>
      <c r="B162" s="135"/>
      <c r="C162" s="13"/>
      <c r="D162" s="13"/>
      <c r="E162" s="13"/>
    </row>
    <row r="163" customFormat="1" spans="1:5">
      <c r="A163" s="13"/>
      <c r="B163" s="135"/>
      <c r="C163" s="13"/>
      <c r="D163" s="13"/>
      <c r="E163" s="13"/>
    </row>
    <row r="164" customFormat="1"/>
    <row r="165" customFormat="1"/>
    <row r="166" spans="1:5">
      <c r="A166" s="139" t="s">
        <v>287</v>
      </c>
    </row>
    <row r="167" customFormat="1" spans="1:5">
      <c r="A167" s="143" t="s">
        <v>288</v>
      </c>
      <c r="B167" s="15" t="str">
        <f>'Design Converter'!H59</f>
        <v>4V</v>
      </c>
      <c r="C167" t="s">
        <v>7</v>
      </c>
      <c r="E167" t="s">
        <v>289</v>
      </c>
    </row>
    <row r="168" customFormat="1" spans="1:5">
      <c r="A168" s="143"/>
      <c r="B168" s="13"/>
    </row>
    <row r="169" spans="1:5">
      <c r="A169" s="17" t="s">
        <v>290</v>
      </c>
    </row>
    <row r="170" customFormat="1" spans="1:5">
      <c r="A170" t="s">
        <v>291</v>
      </c>
      <c r="B170" s="15">
        <f>'Design Converter'!H62*(10^3)</f>
        <v>15000</v>
      </c>
      <c r="C170" s="16" t="s">
        <v>35</v>
      </c>
      <c r="E170" t="s">
        <v>292</v>
      </c>
    </row>
    <row r="171" customFormat="1" spans="1:5">
      <c r="A171" t="s">
        <v>293</v>
      </c>
      <c r="B171" s="89">
        <f>(RFBT*Vref)/(VOUT-Vref)</f>
        <v>2162.47139588101</v>
      </c>
      <c r="C171" s="16" t="s">
        <v>35</v>
      </c>
      <c r="E171" t="s">
        <v>294</v>
      </c>
    </row>
    <row r="172" spans="1:5">
      <c r="A172" t="s">
        <v>295</v>
      </c>
      <c r="B172" s="15">
        <f>'Design Converter'!H64*(10^3)</f>
        <v>11000</v>
      </c>
      <c r="C172" s="16" t="s">
        <v>35</v>
      </c>
      <c r="E172" t="s">
        <v>296</v>
      </c>
    </row>
    <row r="173" spans="1:5">
      <c r="A173" t="s">
        <v>297</v>
      </c>
      <c r="B173" s="12">
        <f>VOUT/(RFBB+RFBT)</f>
        <v>0.000384615384615385</v>
      </c>
      <c r="C173" s="16" t="s">
        <v>12</v>
      </c>
      <c r="E173" t="s">
        <v>298</v>
      </c>
    </row>
    <row r="174" customFormat="1" spans="1:5">
      <c r="B174" s="13"/>
      <c r="C174" s="16"/>
    </row>
    <row r="175" customFormat="1" spans="1:5">
      <c r="A175" s="17" t="s">
        <v>299</v>
      </c>
      <c r="E175" t="s">
        <v>300</v>
      </c>
    </row>
    <row r="176" customFormat="1"/>
    <row r="177" customFormat="1" spans="1:5">
      <c r="A177" s="130" t="s">
        <v>301</v>
      </c>
    </row>
    <row r="178" customFormat="1" spans="1:5">
      <c r="A178" t="s">
        <v>302</v>
      </c>
      <c r="B178">
        <f>(Gcomp*(VOUT/IOUT)*(1-Dc_VIN_min))/(R_cs*Acs*(1+Dc_VIN_min))</f>
        <v>11.7391304347826</v>
      </c>
    </row>
    <row r="179" customFormat="1"/>
    <row r="180" customFormat="1" spans="1:5">
      <c r="A180" t="s">
        <v>303</v>
      </c>
      <c r="B180" s="10">
        <f>(1+Dc_VIN_min)/(Cout*(VOUT/IOUT))</f>
        <v>3538.46153846154</v>
      </c>
      <c r="C180" t="s">
        <v>304</v>
      </c>
      <c r="E180" t="s">
        <v>305</v>
      </c>
    </row>
    <row r="181" customFormat="1" spans="1:5">
      <c r="A181" t="s">
        <v>306</v>
      </c>
      <c r="B181" s="12">
        <f>B180/(2*PI())</f>
        <v>563.163644786707</v>
      </c>
      <c r="C181" t="s">
        <v>111</v>
      </c>
      <c r="E181" t="s">
        <v>307</v>
      </c>
    </row>
    <row r="182" customFormat="1" spans="1:5">
      <c r="B182" s="13"/>
    </row>
    <row r="183" customFormat="1" spans="1:5">
      <c r="A183" t="s">
        <v>308</v>
      </c>
      <c r="B183" s="10">
        <f>1/(Cout*Resr)</f>
        <v>5000000</v>
      </c>
      <c r="C183" t="s">
        <v>309</v>
      </c>
      <c r="E183" t="s">
        <v>310</v>
      </c>
    </row>
    <row r="184" customFormat="1" spans="1:5">
      <c r="A184" t="s">
        <v>311</v>
      </c>
      <c r="B184" s="12">
        <f>B183/(2*PI())</f>
        <v>795774.715459477</v>
      </c>
      <c r="C184" t="s">
        <v>111</v>
      </c>
      <c r="E184" t="s">
        <v>312</v>
      </c>
    </row>
    <row r="185" customFormat="1" spans="1:5">
      <c r="B185" s="13"/>
    </row>
    <row r="186" customFormat="1" spans="1:5">
      <c r="A186" t="s">
        <v>313</v>
      </c>
      <c r="B186" s="10">
        <f>((VOUT/IOUT)*((1-Dc_VIN_min)^2))/(Lm*Dc_VIN_min)</f>
        <v>34615.3846153846</v>
      </c>
      <c r="E186" t="s">
        <v>314</v>
      </c>
    </row>
    <row r="187" customFormat="1" spans="1:5">
      <c r="A187" t="s">
        <v>315</v>
      </c>
      <c r="B187" s="89">
        <f>B186/(2*PI())</f>
        <v>5509.20956856561</v>
      </c>
      <c r="C187" t="s">
        <v>111</v>
      </c>
      <c r="E187" t="s">
        <v>316</v>
      </c>
    </row>
    <row r="188" customFormat="1" spans="1:5">
      <c r="B188" s="13">
        <f>Fsw/10</f>
        <v>75000</v>
      </c>
      <c r="C188" t="s">
        <v>111</v>
      </c>
      <c r="E188" t="s">
        <v>317</v>
      </c>
    </row>
    <row r="189" customFormat="1" spans="1:5">
      <c r="B189">
        <f>IF((B187/5)&lt;(B188),0,1)</f>
        <v>0</v>
      </c>
      <c r="E189" t="s">
        <v>318</v>
      </c>
    </row>
    <row r="190" customFormat="1"/>
    <row r="191" customFormat="1" spans="1:5">
      <c r="A191" t="s">
        <v>319</v>
      </c>
      <c r="B191" s="12">
        <f>(Isl*(Rsl_int+R_sl)*Fsw)</f>
        <v>63750</v>
      </c>
      <c r="C191" t="s">
        <v>244</v>
      </c>
      <c r="E191" t="s">
        <v>320</v>
      </c>
    </row>
    <row r="192" customFormat="1" spans="1:5">
      <c r="A192" t="s">
        <v>321</v>
      </c>
      <c r="B192" s="12">
        <f>(R_cs*VIN_min*Acs)/Lm</f>
        <v>15000</v>
      </c>
      <c r="C192" t="s">
        <v>244</v>
      </c>
      <c r="E192" t="s">
        <v>322</v>
      </c>
    </row>
    <row r="193" customFormat="1" spans="1:5">
      <c r="B193" s="12"/>
    </row>
    <row r="194" customFormat="1" spans="1:5">
      <c r="A194" t="s">
        <v>323</v>
      </c>
      <c r="B194" s="12">
        <f>2*PI()*Fsw</f>
        <v>4712388.98038469</v>
      </c>
      <c r="C194" t="s">
        <v>324</v>
      </c>
    </row>
    <row r="195" customFormat="1" spans="1:5">
      <c r="A195" t="s">
        <v>325</v>
      </c>
      <c r="B195" s="12">
        <f>1/(PI()*(((1-Dc_VIN_min)*(1+(B191/B192)))-0.5))</f>
        <v>0.447354434636679</v>
      </c>
    </row>
    <row r="196" customFormat="1" spans="1:5">
      <c r="E196">
        <f>fcross</f>
        <v>800</v>
      </c>
    </row>
    <row r="197" customFormat="1" spans="1:5">
      <c r="B197" s="13"/>
    </row>
    <row r="198" customFormat="1" spans="1:5">
      <c r="A198" t="s">
        <v>326</v>
      </c>
      <c r="B198" s="90">
        <f>IF(B189=0,fz_rhp/6,Fsw/10)</f>
        <v>918.201594760934</v>
      </c>
      <c r="C198" t="s">
        <v>111</v>
      </c>
      <c r="E198" t="s">
        <v>327</v>
      </c>
    </row>
    <row r="199" customFormat="1"/>
    <row r="200" customFormat="1"/>
    <row r="201" customFormat="1" spans="1:5">
      <c r="A201" t="s">
        <v>328</v>
      </c>
      <c r="B201" s="144">
        <f>SQRT(B181*fcross)</f>
        <v>671.215997894393</v>
      </c>
      <c r="C201" t="s">
        <v>111</v>
      </c>
      <c r="E201" t="s">
        <v>329</v>
      </c>
    </row>
    <row r="202" customFormat="1" spans="1:5">
      <c r="A202" t="s">
        <v>330</v>
      </c>
      <c r="B202" s="145">
        <f>fz_rhp</f>
        <v>5509.20956856561</v>
      </c>
      <c r="C202" t="s">
        <v>111</v>
      </c>
      <c r="E202" t="s">
        <v>331</v>
      </c>
    </row>
    <row r="203" customFormat="1" spans="1:5">
      <c r="A203" t="s">
        <v>332</v>
      </c>
      <c r="B203" s="15">
        <f>fcross</f>
        <v>800</v>
      </c>
      <c r="C203" t="s">
        <v>111</v>
      </c>
      <c r="E203" t="s">
        <v>333</v>
      </c>
    </row>
    <row r="204" customFormat="1"/>
    <row r="205" customFormat="1"/>
    <row r="206" customFormat="1" spans="1:5">
      <c r="A206" t="s">
        <v>334</v>
      </c>
      <c r="B206" s="90">
        <f>(2*PI()*Acs*Cout*R_cs*VOUT*fcross)/(Gcomp*Vref*gm_ea*(1-Dc_VIN_min))</f>
        <v>1200.49101989028</v>
      </c>
      <c r="C206" s="16" t="s">
        <v>35</v>
      </c>
      <c r="E206" t="s">
        <v>335</v>
      </c>
    </row>
    <row r="207" customFormat="1" spans="1:5">
      <c r="A207" t="s">
        <v>336</v>
      </c>
      <c r="B207" s="11">
        <f>1/(2*PI()*fz_ea_est*Rcomp_calc_CCM)</f>
        <v>1.97514469624212e-7</v>
      </c>
      <c r="C207" s="16" t="s">
        <v>258</v>
      </c>
      <c r="E207" t="s">
        <v>337</v>
      </c>
    </row>
    <row r="208" customFormat="1" spans="1:5">
      <c r="A208" t="s">
        <v>338</v>
      </c>
      <c r="B208" s="146">
        <f>(IOUT*Lm)/(Rcomp_calc_CCM*((1-Dc_VIN_min)^2)*(VIN_min+VOUT))</f>
        <v>2.40642273954946e-8</v>
      </c>
      <c r="C208" t="s">
        <v>258</v>
      </c>
      <c r="E208" t="s">
        <v>339</v>
      </c>
    </row>
    <row r="211" spans="1:5">
      <c r="A211" s="130" t="s">
        <v>340</v>
      </c>
      <c r="E211" s="17" t="s">
        <v>341</v>
      </c>
    </row>
    <row r="212" customFormat="1"/>
    <row r="213" customFormat="1" spans="1:5">
      <c r="A213" t="s">
        <v>342</v>
      </c>
      <c r="B213">
        <f>Fsw/((R_cs*Acs*(VIN_min/Lm))+((R_sl+Rsl_int)*Isl))</f>
        <v>49.9997166682722</v>
      </c>
      <c r="C213" t="s">
        <v>244</v>
      </c>
      <c r="E213" t="s">
        <v>343</v>
      </c>
    </row>
    <row r="214" customFormat="1" spans="1:5">
      <c r="A214" t="s">
        <v>344</v>
      </c>
      <c r="B214">
        <f>(B213*2*VOUT/Dc_VIN_min)*(((VOUT/VIN_min)-1)/((2*VOUT/VIN_min)-1))</f>
        <v>535.291084330914</v>
      </c>
      <c r="C214" t="s">
        <v>244</v>
      </c>
    </row>
    <row r="215" customFormat="1" spans="1:5">
      <c r="A215" t="s">
        <v>345</v>
      </c>
      <c r="B215">
        <f>(IOUT*((2*VOUT)-VIN_min))/(Cout*VOUT*(VOUT-VIN_min))</f>
        <v>4857.14285714286</v>
      </c>
      <c r="C215" t="s">
        <v>304</v>
      </c>
    </row>
    <row r="216" customFormat="1" spans="1:5">
      <c r="B216">
        <f>B215/(2*PI())</f>
        <v>773.038295017777</v>
      </c>
      <c r="C216" t="s">
        <v>111</v>
      </c>
    </row>
    <row r="217" customFormat="1" spans="1:5">
      <c r="A217" t="s">
        <v>346</v>
      </c>
      <c r="B217">
        <f>1/(Cout*Resr)</f>
        <v>5000000</v>
      </c>
      <c r="C217" t="s">
        <v>304</v>
      </c>
    </row>
    <row r="218" customFormat="1" spans="1:5">
      <c r="B218">
        <f>B217/(2*PI())</f>
        <v>795774.715459477</v>
      </c>
      <c r="C218" t="s">
        <v>111</v>
      </c>
    </row>
    <row r="219" customFormat="1" spans="1:5">
      <c r="A219" t="s">
        <v>347</v>
      </c>
      <c r="B219">
        <f>2*Fsw/(Dc_VIN_min)</f>
        <v>1950000</v>
      </c>
      <c r="C219" t="s">
        <v>304</v>
      </c>
      <c r="E219" t="s">
        <v>348</v>
      </c>
    </row>
    <row r="220" customFormat="1" spans="1:5">
      <c r="B220">
        <f>B219/(2*PI())</f>
        <v>310352.139029196</v>
      </c>
      <c r="C220" t="s">
        <v>111</v>
      </c>
    </row>
    <row r="221" customFormat="1"/>
    <row r="222" customFormat="1" spans="1:5">
      <c r="A222" t="s">
        <v>349</v>
      </c>
      <c r="B222">
        <f>2*Fsw/(2*PI()*Dc_VIN_min*5)</f>
        <v>62070.4278058392</v>
      </c>
      <c r="C222" t="s">
        <v>111</v>
      </c>
      <c r="E222" t="s">
        <v>350</v>
      </c>
    </row>
    <row r="223" customFormat="1" spans="1:5">
      <c r="B223">
        <f>20*LOG(Gcomp*B214*(B215/(2*PI())))</f>
        <v>111.420670561139</v>
      </c>
      <c r="E223" t="s">
        <v>351</v>
      </c>
    </row>
    <row r="224" customFormat="1" spans="1:5">
      <c r="A224" t="s">
        <v>332</v>
      </c>
      <c r="B224" s="15">
        <f>fcross</f>
        <v>800</v>
      </c>
      <c r="C224" t="s">
        <v>111</v>
      </c>
      <c r="E224" t="s">
        <v>352</v>
      </c>
    </row>
    <row r="225" customFormat="1" spans="1:5">
      <c r="B225" s="13"/>
    </row>
    <row r="226" customFormat="1" spans="1:5">
      <c r="B226" s="13"/>
    </row>
    <row r="227" customFormat="1" spans="1:5">
      <c r="A227" t="s">
        <v>353</v>
      </c>
      <c r="B227">
        <f>(2*PI()*VOUT*fcross)/(Gcomp*Vref*gm_ea*B215*B214)</f>
        <v>21.3106122367939</v>
      </c>
      <c r="C227" t="s">
        <v>354</v>
      </c>
      <c r="E227" t="s">
        <v>335</v>
      </c>
    </row>
    <row r="228" customFormat="1" spans="1:5">
      <c r="A228" t="s">
        <v>355</v>
      </c>
      <c r="B228">
        <f>1/(2*PI()*SQRT(fcross*(B215/(2*PI())))*B227)</f>
        <v>9.49683094229579e-6</v>
      </c>
      <c r="C228" t="s">
        <v>258</v>
      </c>
      <c r="E228" t="s">
        <v>337</v>
      </c>
    </row>
    <row r="229" customFormat="1" spans="1:5">
      <c r="A229" t="s">
        <v>356</v>
      </c>
      <c r="B229">
        <f>B228/((2*PI()*B228*B227*(B219/(2*PI())))-1)</f>
        <v>2.41252221132627e-8</v>
      </c>
      <c r="C229" t="s">
        <v>258</v>
      </c>
      <c r="E229" t="s">
        <v>339</v>
      </c>
    </row>
    <row r="230" customFormat="1" ht="16.5" customHeight="1"/>
    <row r="231" customFormat="1" ht="16.5" customHeight="1" spans="1:5">
      <c r="A231" s="125" t="s">
        <v>357</v>
      </c>
    </row>
    <row r="232" customFormat="1" spans="1:5">
      <c r="B232">
        <f>IF(B52=0,B222,B198)</f>
        <v>918.201594760934</v>
      </c>
      <c r="C232" t="s">
        <v>111</v>
      </c>
      <c r="E232" t="s">
        <v>358</v>
      </c>
    </row>
    <row r="233" customFormat="1" spans="1:5">
      <c r="A233" t="s">
        <v>332</v>
      </c>
      <c r="B233" s="15">
        <f>'Design Converter'!H68*1000</f>
        <v>800</v>
      </c>
      <c r="C233" t="s">
        <v>111</v>
      </c>
      <c r="E233" t="s">
        <v>359</v>
      </c>
    </row>
    <row r="234" customFormat="1"/>
    <row r="235" customFormat="1" spans="1:5">
      <c r="A235" t="s">
        <v>360</v>
      </c>
      <c r="B235">
        <f>IF(B52=0,RCOMP_CALC_DCM,Rcomp_calc_CCM)</f>
        <v>1200.49101989028</v>
      </c>
    </row>
    <row r="236" customFormat="1" spans="1:5">
      <c r="A236" t="s">
        <v>361</v>
      </c>
      <c r="B236" s="15">
        <f>'Design Converter'!H71*1000</f>
        <v>1600</v>
      </c>
      <c r="C236" s="16" t="s">
        <v>35</v>
      </c>
      <c r="D236"/>
      <c r="E236" t="s">
        <v>362</v>
      </c>
    </row>
    <row r="237" customFormat="1" spans="1:5">
      <c r="A237" t="s">
        <v>363</v>
      </c>
      <c r="B237">
        <f>IF(B52=0,CCOMP_CALC_DCM,CCOMP_calc_CCM)</f>
        <v>1.97514469624212e-7</v>
      </c>
    </row>
    <row r="238" customFormat="1" spans="1:5">
      <c r="A238" t="s">
        <v>364</v>
      </c>
      <c r="B238" s="15">
        <f>'Design Converter'!H72*(10^-9)</f>
        <v>1.55e-7</v>
      </c>
      <c r="C238" t="s">
        <v>258</v>
      </c>
      <c r="D238"/>
      <c r="E238" t="s">
        <v>365</v>
      </c>
    </row>
    <row r="239" customFormat="1" spans="1:5">
      <c r="A239" t="s">
        <v>366</v>
      </c>
      <c r="B239">
        <f>IF(B52=0,CHF_CALC_DCM,CHF_CALC_CCM)</f>
        <v>2.40642273954946e-8</v>
      </c>
    </row>
    <row r="240" customFormat="1" spans="1:5">
      <c r="A240" t="s">
        <v>367</v>
      </c>
      <c r="B240" s="15">
        <f>'Design Converter'!H73*(10^-12)</f>
        <v>2.0054e-8</v>
      </c>
      <c r="C240" t="s">
        <v>258</v>
      </c>
      <c r="D240"/>
      <c r="E240" t="s">
        <v>368</v>
      </c>
    </row>
    <row r="241" customFormat="1"/>
    <row r="242" spans="1:5">
      <c r="A242" s="139" t="s">
        <v>369</v>
      </c>
    </row>
    <row r="243" customFormat="1" spans="1:5">
      <c r="A243" s="139" t="s">
        <v>80</v>
      </c>
    </row>
    <row r="244" customFormat="1" spans="1:5">
      <c r="A244" s="147" t="s">
        <v>370</v>
      </c>
      <c r="E244" t="s">
        <v>371</v>
      </c>
    </row>
    <row r="245" spans="1:5">
      <c r="A245" t="s">
        <v>372</v>
      </c>
      <c r="B245">
        <f>'Design Converter'!H88/1000</f>
        <v>0.62</v>
      </c>
      <c r="C245" t="s">
        <v>7</v>
      </c>
      <c r="E245" t="s">
        <v>373</v>
      </c>
    </row>
    <row r="246" spans="1:5">
      <c r="A246" t="s">
        <v>374</v>
      </c>
      <c r="B246">
        <f>'Design Converter'!H89*(10^-9)</f>
        <v>0</v>
      </c>
      <c r="C246" t="s">
        <v>375</v>
      </c>
      <c r="E246" t="s">
        <v>376</v>
      </c>
    </row>
    <row r="248" customFormat="1"/>
    <row r="249" spans="1:5">
      <c r="A249" s="139" t="s">
        <v>377</v>
      </c>
    </row>
    <row r="250" ht="16.5" spans="1:5">
      <c r="A250" t="s">
        <v>378</v>
      </c>
      <c r="B250" s="15">
        <f>'Design Converter'!H78*(10^-3)</f>
        <v>0.075</v>
      </c>
      <c r="C250" s="16" t="s">
        <v>35</v>
      </c>
      <c r="E250" s="148" t="s">
        <v>69</v>
      </c>
    </row>
    <row r="251" ht="16.5" spans="1:5">
      <c r="A251" t="s">
        <v>379</v>
      </c>
      <c r="B251" s="15">
        <f>'Design Converter'!H79*(10^-9)</f>
        <v>2e-8</v>
      </c>
      <c r="C251" t="s">
        <v>258</v>
      </c>
      <c r="E251" s="148" t="s">
        <v>71</v>
      </c>
    </row>
    <row r="252" ht="16.5" spans="1:5">
      <c r="A252" t="s">
        <v>380</v>
      </c>
      <c r="B252" s="15">
        <f>'Design Converter'!H80*(10^-9)</f>
        <v>5.3e-9</v>
      </c>
      <c r="C252" t="s">
        <v>258</v>
      </c>
      <c r="E252" s="148" t="s">
        <v>73</v>
      </c>
    </row>
    <row r="253" ht="16.5" spans="1:5">
      <c r="A253" t="s">
        <v>381</v>
      </c>
      <c r="B253" s="15">
        <f>'Design Converter'!H81*(10^-9)</f>
        <v>5.3e-9</v>
      </c>
      <c r="C253" t="s">
        <v>258</v>
      </c>
      <c r="E253" s="148" t="s">
        <v>74</v>
      </c>
    </row>
    <row r="254" ht="16.5" spans="1:5">
      <c r="A254" t="s">
        <v>382</v>
      </c>
      <c r="B254" s="15">
        <f>'Design Converter'!H82</f>
        <v>3</v>
      </c>
      <c r="C254" s="16" t="s">
        <v>35</v>
      </c>
      <c r="E254" s="148" t="s">
        <v>75</v>
      </c>
    </row>
    <row r="255" customFormat="1" spans="1:5">
      <c r="A255" t="s">
        <v>383</v>
      </c>
      <c r="B255" s="10">
        <v>1.5</v>
      </c>
      <c r="C255" s="16"/>
      <c r="E255" s="148" t="s">
        <v>384</v>
      </c>
    </row>
    <row r="256" ht="16.5" spans="1:5">
      <c r="A256" t="s">
        <v>385</v>
      </c>
      <c r="B256" s="15">
        <f>'Design Converter'!H83</f>
        <v>4.5</v>
      </c>
      <c r="C256" s="16" t="s">
        <v>78</v>
      </c>
      <c r="E256" s="148" t="s">
        <v>77</v>
      </c>
    </row>
    <row r="257" ht="16.5" spans="1:8">
      <c r="A257" t="s">
        <v>386</v>
      </c>
      <c r="B257" s="15">
        <f>'Design Converter'!H84</f>
        <v>2.2</v>
      </c>
      <c r="C257" s="16" t="s">
        <v>7</v>
      </c>
      <c r="E257" s="148" t="s">
        <v>79</v>
      </c>
    </row>
    <row r="258" customFormat="1" spans="1:8">
      <c r="A258" t="s">
        <v>387</v>
      </c>
      <c r="B258" s="10">
        <f>Vcc</f>
        <v>7.2</v>
      </c>
      <c r="C258" s="16" t="s">
        <v>7</v>
      </c>
      <c r="E258" s="148" t="s">
        <v>388</v>
      </c>
    </row>
    <row r="259" customFormat="1" spans="1:8">
      <c r="B259" s="13"/>
      <c r="C259" s="16"/>
      <c r="E259" s="148"/>
    </row>
    <row r="260" customFormat="1" spans="1:8">
      <c r="B260" s="13"/>
      <c r="C260" s="16"/>
      <c r="E260" s="148"/>
    </row>
    <row r="261" spans="1:8">
      <c r="A261" t="s">
        <v>389</v>
      </c>
      <c r="B261" s="137">
        <f>Vth+((IOUT+(VOUT*IOUT/VIN_min))/gfs)</f>
        <v>4.12592592592593</v>
      </c>
      <c r="C261" s="16" t="s">
        <v>7</v>
      </c>
      <c r="E261" s="148" t="s">
        <v>390</v>
      </c>
    </row>
    <row r="262" spans="1:8">
      <c r="A262" t="s">
        <v>391</v>
      </c>
      <c r="B262" s="12">
        <f>(Qgd+(Qgs/2))*((Rgate+B255)/(Vcc-B261))</f>
        <v>1.16376506024096e-8</v>
      </c>
      <c r="C262" s="16" t="s">
        <v>173</v>
      </c>
      <c r="E262" s="148" t="s">
        <v>392</v>
      </c>
    </row>
    <row r="263" ht="15.75" spans="1:8">
      <c r="A263" t="s">
        <v>393</v>
      </c>
      <c r="B263" s="124">
        <f>(Qgd+(Qgs/2))*((B255+Rgate)/B261)</f>
        <v>8.67078096947935e-9</v>
      </c>
      <c r="C263" t="s">
        <v>173</v>
      </c>
      <c r="E263" s="149" t="s">
        <v>394</v>
      </c>
      <c r="H263" t="s">
        <v>395</v>
      </c>
    </row>
  </sheetData>
  <mergeCells count="2">
    <mergeCell ref="A1:J1"/>
    <mergeCell ref="E5:H5"/>
  </mergeCells>
  <pageMargins left="0.7" right="0.7" top="0.75" bottom="0.75" header="0.3" footer="0.3"/>
  <pageSetup paperSize="1" orientation="portrait"/>
  <headerFooter/>
  <ignoredErrors>
    <ignoredError sqref="B219 B217" 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T157"/>
  <sheetViews>
    <sheetView zoomScale="85" zoomScaleNormal="85" topLeftCell="I1" workbookViewId="0">
      <pane ySplit="6" topLeftCell="A100" activePane="bottomLeft" state="frozen"/>
      <selection/>
      <selection pane="bottomLeft" activeCell="AU42" sqref="AU42"/>
    </sheetView>
  </sheetViews>
  <sheetFormatPr defaultColWidth="9" defaultRowHeight="15"/>
  <cols>
    <col min="10" max="10" width="10" customWidth="1"/>
    <col min="18" max="18" width="8.85714285714286"/>
    <col min="21" max="21" width="8.85714285714286"/>
    <col min="24" max="24" width="8.85714285714286"/>
    <col min="25" max="25" width="12" customWidth="1"/>
    <col min="28" max="28" width="8.85714285714286"/>
    <col min="30" max="30" width="8.85714285714286"/>
    <col min="35" max="35" width="8.85714285714286"/>
    <col min="39" max="39" width="11" customWidth="1"/>
    <col min="42" max="43" width="8.85714285714286"/>
  </cols>
  <sheetData>
    <row r="1" ht="27.75" spans="1:46">
      <c r="A1" s="1" t="s">
        <v>90</v>
      </c>
      <c r="B1" s="1"/>
      <c r="C1" s="1"/>
      <c r="D1" s="1"/>
      <c r="E1" s="1"/>
      <c r="F1" s="1"/>
      <c r="G1" s="1"/>
      <c r="H1" s="1"/>
      <c r="I1" s="1"/>
      <c r="J1" s="1"/>
      <c r="K1" s="1"/>
      <c r="L1" s="1"/>
      <c r="M1" s="1"/>
    </row>
    <row r="2" spans="1:46">
      <c r="Y2" s="40" t="s">
        <v>396</v>
      </c>
      <c r="Z2" s="40"/>
      <c r="AA2" s="40"/>
      <c r="AB2" s="40"/>
      <c r="AC2" s="40"/>
      <c r="AD2" s="40"/>
    </row>
    <row r="4" ht="15.75" spans="1:46">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row>
    <row r="5" ht="30" spans="1:46">
      <c r="R5" s="97" t="s">
        <v>397</v>
      </c>
      <c r="S5" s="98"/>
      <c r="T5" s="98"/>
      <c r="U5" s="99"/>
      <c r="V5" s="97" t="s">
        <v>398</v>
      </c>
      <c r="W5" s="98"/>
      <c r="X5" s="99"/>
      <c r="Y5" s="97" t="s">
        <v>399</v>
      </c>
      <c r="Z5" s="98"/>
      <c r="AA5" s="98"/>
      <c r="AB5" s="98"/>
      <c r="AC5" s="98"/>
      <c r="AD5" s="99"/>
      <c r="AE5" s="97" t="s">
        <v>400</v>
      </c>
      <c r="AF5" s="98"/>
      <c r="AG5" s="98"/>
      <c r="AH5" s="98"/>
      <c r="AI5" s="99"/>
      <c r="AJ5" s="97" t="s">
        <v>401</v>
      </c>
      <c r="AK5" s="98"/>
      <c r="AL5" s="98"/>
      <c r="AM5" s="98"/>
      <c r="AN5" s="99"/>
      <c r="AO5" s="100" t="s">
        <v>402</v>
      </c>
      <c r="AP5" s="101"/>
      <c r="AQ5" s="102"/>
      <c r="AR5" s="100" t="s">
        <v>403</v>
      </c>
      <c r="AS5" s="103"/>
      <c r="AT5" s="104"/>
    </row>
    <row r="6" ht="18.75" spans="1:46">
      <c r="R6" s="105" t="s">
        <v>115</v>
      </c>
      <c r="S6" s="106" t="s">
        <v>117</v>
      </c>
      <c r="T6" s="106" t="s">
        <v>404</v>
      </c>
      <c r="U6" s="107" t="s">
        <v>405</v>
      </c>
      <c r="V6" s="105" t="s">
        <v>406</v>
      </c>
      <c r="W6" s="106" t="s">
        <v>407</v>
      </c>
      <c r="X6" s="107" t="s">
        <v>408</v>
      </c>
      <c r="Y6" s="108" t="s">
        <v>409</v>
      </c>
      <c r="Z6" s="109" t="s">
        <v>410</v>
      </c>
      <c r="AA6" s="109" t="s">
        <v>411</v>
      </c>
      <c r="AB6" s="110" t="s">
        <v>412</v>
      </c>
      <c r="AC6" s="110" t="s">
        <v>413</v>
      </c>
      <c r="AD6" s="111" t="s">
        <v>414</v>
      </c>
      <c r="AE6" s="108" t="s">
        <v>415</v>
      </c>
      <c r="AF6" s="109" t="s">
        <v>416</v>
      </c>
      <c r="AG6" s="110" t="s">
        <v>417</v>
      </c>
      <c r="AH6" s="110" t="s">
        <v>418</v>
      </c>
      <c r="AI6" s="111" t="s">
        <v>419</v>
      </c>
      <c r="AJ6" s="108" t="s">
        <v>420</v>
      </c>
      <c r="AK6" s="109" t="s">
        <v>421</v>
      </c>
      <c r="AL6" s="109" t="s">
        <v>422</v>
      </c>
      <c r="AM6" s="109" t="s">
        <v>423</v>
      </c>
      <c r="AN6" s="112" t="s">
        <v>424</v>
      </c>
      <c r="AO6" s="108" t="s">
        <v>425</v>
      </c>
      <c r="AP6" s="109" t="s">
        <v>426</v>
      </c>
      <c r="AQ6" s="112" t="s">
        <v>427</v>
      </c>
      <c r="AR6" s="108" t="s">
        <v>428</v>
      </c>
      <c r="AS6" s="109" t="s">
        <v>429</v>
      </c>
      <c r="AT6" s="112" t="s">
        <v>430</v>
      </c>
    </row>
    <row r="7" spans="1:46">
      <c r="Q7">
        <v>0</v>
      </c>
      <c r="R7" s="105">
        <f t="shared" ref="R7:R70" si="0">VOUT</f>
        <v>10</v>
      </c>
      <c r="S7" s="106">
        <f t="shared" ref="S7:S38" si="1">Q7*$O$12</f>
        <v>0</v>
      </c>
      <c r="T7" s="106">
        <f t="shared" ref="T7:T70" si="2">VIN_var</f>
        <v>4</v>
      </c>
      <c r="U7" s="107">
        <f t="shared" ref="U7:U38" si="3">(R7*S7)/(T7*EFF_est)</f>
        <v>0</v>
      </c>
      <c r="V7" s="105">
        <f t="shared" ref="V7:V38" si="4">IF(S7&lt;((T7^2)*R7)/(2*Fsw*Lm*((T7+R7)^2)),1,2)</f>
        <v>1</v>
      </c>
      <c r="W7" s="106">
        <f t="shared" ref="W7:W38" si="5">CHOOSE(V7,SQRT(2*Lm*R7*S7*Fsw)/T7,R7/(T7+R7))</f>
        <v>0</v>
      </c>
      <c r="X7" s="107">
        <f t="shared" ref="X7:X38" si="6">CHOOSE(V7,(Lm*Z7*Fsw)/(R7),1-W7)</f>
        <v>0</v>
      </c>
      <c r="Y7" s="105">
        <f t="shared" ref="Y7" si="7">(T7*W7)/(Lm*Fsw)</f>
        <v>0</v>
      </c>
      <c r="Z7" s="106">
        <f t="shared" ref="Z7:Z19" si="8">U7+S7+(Y7)</f>
        <v>0</v>
      </c>
      <c r="AA7" s="106">
        <f>CHOOSE(V7,Z7*SQRT((W7+X7)/3),SQRT((U7^2)+((Y7^2)/12)))</f>
        <v>0</v>
      </c>
      <c r="AB7" s="106">
        <v>0</v>
      </c>
      <c r="AC7" s="106">
        <f t="shared" ref="AC7" si="9">(AA7^2)*Rdcr</f>
        <v>0</v>
      </c>
      <c r="AD7" s="107">
        <f>AB7+AC7</f>
        <v>0</v>
      </c>
      <c r="AE7" s="105">
        <f>U7*S7*W7</f>
        <v>0</v>
      </c>
      <c r="AF7" s="106">
        <f>AA7</f>
        <v>0</v>
      </c>
      <c r="AG7" s="106">
        <f t="shared" ref="AG7:AG38" si="10">(AF7^2)*RDS_on</f>
        <v>0</v>
      </c>
      <c r="AH7" s="106">
        <f t="shared" ref="AH7:AH38" si="11">(((R7+T7)*(U7+S7))/2)*Fsw*(tr_sw+tf_sw)</f>
        <v>0</v>
      </c>
      <c r="AI7" s="107">
        <f>AG7+AH7</f>
        <v>0</v>
      </c>
      <c r="AJ7" s="105">
        <f>S7</f>
        <v>0</v>
      </c>
      <c r="AK7" s="106">
        <f t="shared" ref="AK7" si="12">CHOOSE(V7,Z7*SQRT(X7/3),SQRT(X7*((Z7^2)+((Y7^2)/3)-(Y7*Z7))))</f>
        <v>0</v>
      </c>
      <c r="AL7" s="106">
        <f t="shared" ref="AL7" si="13">S7*Vd_rect</f>
        <v>0</v>
      </c>
      <c r="AM7" s="106">
        <f t="shared" ref="AM7:AM38" si="14">(R7+T7+Vd_rect)*Qrr*Fsw</f>
        <v>0</v>
      </c>
      <c r="AN7" s="107">
        <f>AL7+AM7</f>
        <v>0</v>
      </c>
      <c r="AO7" s="105">
        <f t="shared" ref="AO7:AO38" si="15">(AF7^2)*R_cs</f>
        <v>0</v>
      </c>
      <c r="AP7" s="106">
        <f t="shared" ref="AP7:AP70" si="16">Qg_tot*Vcc*Fsw</f>
        <v>0.108</v>
      </c>
      <c r="AQ7" s="107">
        <f t="shared" ref="AQ7" si="17">IQ*T7</f>
        <v>0.0132</v>
      </c>
      <c r="AR7" s="105">
        <f>AO7+AN7+AI7+AP7+AQ7</f>
        <v>0.1212</v>
      </c>
      <c r="AS7" s="106">
        <f>R7*S7</f>
        <v>0</v>
      </c>
      <c r="AT7" s="107">
        <f>(AS7/(AS7+AR7))*100</f>
        <v>0</v>
      </c>
    </row>
    <row r="8" spans="1:46">
      <c r="M8">
        <f>Fsw</f>
        <v>750000</v>
      </c>
      <c r="Q8">
        <v>1</v>
      </c>
      <c r="R8" s="105">
        <f t="shared" si="0"/>
        <v>10</v>
      </c>
      <c r="S8" s="106">
        <f t="shared" si="1"/>
        <v>0.0133333333333333</v>
      </c>
      <c r="T8" s="106">
        <f t="shared" si="2"/>
        <v>4</v>
      </c>
      <c r="U8" s="107">
        <f t="shared" si="3"/>
        <v>0.0333333333333333</v>
      </c>
      <c r="V8" s="105">
        <f t="shared" si="4"/>
        <v>1</v>
      </c>
      <c r="W8" s="106">
        <f t="shared" si="5"/>
        <v>0.353553390593274</v>
      </c>
      <c r="X8" s="107">
        <f t="shared" si="6"/>
        <v>0.176421356237309</v>
      </c>
      <c r="Y8" s="105">
        <f t="shared" ref="Y8:Y71" si="18">(T8*W8)/(Lm*Fsw)</f>
        <v>0.188561808316413</v>
      </c>
      <c r="Z8" s="106">
        <f t="shared" si="8"/>
        <v>0.235228474983079</v>
      </c>
      <c r="AA8" s="106">
        <f t="shared" ref="AA8:AA71" si="19">CHOOSE(V8,Z8*SQRT((W8+X8)/3),SQRT((U8^2)+((Y8^2)/12)))</f>
        <v>0.0988682515022763</v>
      </c>
      <c r="AB8" s="106">
        <v>0</v>
      </c>
      <c r="AC8" s="106">
        <f t="shared" ref="AC8:AC71" si="20">(AA8^2)*Rdcr</f>
        <v>9.77493115511736e-5</v>
      </c>
      <c r="AD8" s="107">
        <f t="shared" ref="AD8:AD71" si="21">AB8+AC8</f>
        <v>9.77493115511736e-5</v>
      </c>
      <c r="AE8" s="105">
        <f t="shared" ref="AE8:AE71" si="22">U8*S8*W8</f>
        <v>0.000157134840263677</v>
      </c>
      <c r="AF8" s="106">
        <f t="shared" ref="AF8:AF71" si="23">AA8</f>
        <v>0.0988682515022763</v>
      </c>
      <c r="AG8" s="106">
        <f t="shared" si="10"/>
        <v>0.000733119836633802</v>
      </c>
      <c r="AH8" s="106">
        <f t="shared" si="11"/>
        <v>0.0049755657351128</v>
      </c>
      <c r="AI8" s="107">
        <f t="shared" ref="AI8:AI71" si="24">AG8+AH8</f>
        <v>0.0057086855717466</v>
      </c>
      <c r="AJ8" s="105">
        <f t="shared" ref="AJ8:AJ71" si="25">S8</f>
        <v>0.0133333333333333</v>
      </c>
      <c r="AK8" s="106">
        <f t="shared" ref="AK8:AK71" si="26">CHOOSE(V8,Z8*SQRT(X8/3),SQRT(X8*((Z8^2)+((Y8^2)/3)-(Y8*Z8))))</f>
        <v>0.0570433265297635</v>
      </c>
      <c r="AL8" s="106">
        <f t="shared" ref="AL8:AL71" si="27">S8*Vd_rect</f>
        <v>0.00826666666666667</v>
      </c>
      <c r="AM8" s="106">
        <f t="shared" si="14"/>
        <v>0</v>
      </c>
      <c r="AN8" s="107">
        <f t="shared" ref="AN8:AN71" si="28">AL8+AM8</f>
        <v>0.00826666666666667</v>
      </c>
      <c r="AO8" s="105">
        <f t="shared" si="15"/>
        <v>0.000488746557755868</v>
      </c>
      <c r="AP8" s="106">
        <f t="shared" si="16"/>
        <v>0.108</v>
      </c>
      <c r="AQ8" s="107">
        <f t="shared" ref="AQ8:AQ71" si="29">IQ*T8</f>
        <v>0.0132</v>
      </c>
      <c r="AR8" s="105">
        <f t="shared" ref="AR8:AR71" si="30">AO8+AN8+AI8+AP8+AQ8</f>
        <v>0.135664098796169</v>
      </c>
      <c r="AS8" s="106">
        <f t="shared" ref="AS8:AS71" si="31">R8*S8</f>
        <v>0.133333333333333</v>
      </c>
      <c r="AT8" s="107">
        <f t="shared" ref="AT8:AT71" si="32">(AS8/(AS8+AR8))*100</f>
        <v>49.5667680831775</v>
      </c>
    </row>
    <row r="9" spans="1:46">
      <c r="N9" s="106" t="s">
        <v>431</v>
      </c>
      <c r="O9" s="106">
        <f>VIN_var</f>
        <v>4</v>
      </c>
      <c r="P9" t="s">
        <v>7</v>
      </c>
      <c r="Q9">
        <v>2</v>
      </c>
      <c r="R9" s="105">
        <f t="shared" si="0"/>
        <v>10</v>
      </c>
      <c r="S9" s="106">
        <f t="shared" si="1"/>
        <v>0.0266666666666667</v>
      </c>
      <c r="T9" s="106">
        <f t="shared" si="2"/>
        <v>4</v>
      </c>
      <c r="U9" s="107">
        <f t="shared" si="3"/>
        <v>0.0666666666666667</v>
      </c>
      <c r="V9" s="105">
        <f t="shared" si="4"/>
        <v>1</v>
      </c>
      <c r="W9" s="106">
        <f t="shared" si="5"/>
        <v>0.5</v>
      </c>
      <c r="X9" s="107">
        <f t="shared" si="6"/>
        <v>0.27</v>
      </c>
      <c r="Y9" s="105">
        <f t="shared" si="18"/>
        <v>0.266666666666667</v>
      </c>
      <c r="Z9" s="106">
        <f t="shared" si="8"/>
        <v>0.36</v>
      </c>
      <c r="AA9" s="106">
        <f t="shared" si="19"/>
        <v>0.182384209842848</v>
      </c>
      <c r="AB9" s="106">
        <v>0</v>
      </c>
      <c r="AC9" s="106">
        <f t="shared" si="20"/>
        <v>0.00033264</v>
      </c>
      <c r="AD9" s="107">
        <f t="shared" si="21"/>
        <v>0.00033264</v>
      </c>
      <c r="AE9" s="105">
        <f t="shared" si="22"/>
        <v>0.000888888888888889</v>
      </c>
      <c r="AF9" s="106">
        <f t="shared" si="23"/>
        <v>0.182384209842848</v>
      </c>
      <c r="AG9" s="106">
        <f t="shared" si="10"/>
        <v>0.0024948</v>
      </c>
      <c r="AH9" s="106">
        <f t="shared" si="11"/>
        <v>0.00995113147022561</v>
      </c>
      <c r="AI9" s="107">
        <f t="shared" si="24"/>
        <v>0.0124459314702256</v>
      </c>
      <c r="AJ9" s="105">
        <f t="shared" si="25"/>
        <v>0.0266666666666667</v>
      </c>
      <c r="AK9" s="106">
        <f t="shared" si="26"/>
        <v>0.108</v>
      </c>
      <c r="AL9" s="106">
        <f t="shared" si="27"/>
        <v>0.0165333333333333</v>
      </c>
      <c r="AM9" s="106">
        <f t="shared" si="14"/>
        <v>0</v>
      </c>
      <c r="AN9" s="107">
        <f t="shared" si="28"/>
        <v>0.0165333333333333</v>
      </c>
      <c r="AO9" s="105">
        <f t="shared" si="15"/>
        <v>0.0016632</v>
      </c>
      <c r="AP9" s="106">
        <f t="shared" si="16"/>
        <v>0.108</v>
      </c>
      <c r="AQ9" s="107">
        <f t="shared" si="29"/>
        <v>0.0132</v>
      </c>
      <c r="AR9" s="105">
        <f t="shared" si="30"/>
        <v>0.151842464803559</v>
      </c>
      <c r="AS9" s="106">
        <f t="shared" si="31"/>
        <v>0.266666666666667</v>
      </c>
      <c r="AT9" s="107">
        <f t="shared" si="32"/>
        <v>63.7182433104541</v>
      </c>
    </row>
    <row r="10" spans="1:46">
      <c r="N10" s="106"/>
      <c r="O10" s="106"/>
      <c r="Q10">
        <v>3</v>
      </c>
      <c r="R10" s="105">
        <f t="shared" si="0"/>
        <v>10</v>
      </c>
      <c r="S10" s="106">
        <f t="shared" si="1"/>
        <v>0.04</v>
      </c>
      <c r="T10" s="106">
        <f t="shared" si="2"/>
        <v>4</v>
      </c>
      <c r="U10" s="107">
        <f t="shared" si="3"/>
        <v>0.1</v>
      </c>
      <c r="V10" s="105">
        <f t="shared" si="4"/>
        <v>1</v>
      </c>
      <c r="W10" s="106">
        <f t="shared" si="5"/>
        <v>0.612372435695794</v>
      </c>
      <c r="X10" s="107">
        <f t="shared" si="6"/>
        <v>0.349948974278318</v>
      </c>
      <c r="Y10" s="105">
        <f t="shared" si="18"/>
        <v>0.32659863237109</v>
      </c>
      <c r="Z10" s="106">
        <f t="shared" si="8"/>
        <v>0.46659863237109</v>
      </c>
      <c r="AA10" s="106">
        <f t="shared" si="19"/>
        <v>0.264266983996051</v>
      </c>
      <c r="AB10" s="106">
        <v>0</v>
      </c>
      <c r="AC10" s="106">
        <f t="shared" si="20"/>
        <v>0.000698370388303693</v>
      </c>
      <c r="AD10" s="107">
        <f t="shared" si="21"/>
        <v>0.000698370388303693</v>
      </c>
      <c r="AE10" s="105">
        <f t="shared" si="22"/>
        <v>0.00244948974278318</v>
      </c>
      <c r="AF10" s="106">
        <f t="shared" si="23"/>
        <v>0.264266983996051</v>
      </c>
      <c r="AG10" s="106">
        <f t="shared" si="10"/>
        <v>0.0052377779122777</v>
      </c>
      <c r="AH10" s="106">
        <f t="shared" si="11"/>
        <v>0.0149266972053384</v>
      </c>
      <c r="AI10" s="107">
        <f t="shared" si="24"/>
        <v>0.0201644751176161</v>
      </c>
      <c r="AJ10" s="105">
        <f t="shared" si="25"/>
        <v>0.04</v>
      </c>
      <c r="AK10" s="106">
        <f t="shared" si="26"/>
        <v>0.159362155981538</v>
      </c>
      <c r="AL10" s="106">
        <f t="shared" si="27"/>
        <v>0.0248</v>
      </c>
      <c r="AM10" s="106">
        <f t="shared" si="14"/>
        <v>0</v>
      </c>
      <c r="AN10" s="107">
        <f t="shared" si="28"/>
        <v>0.0248</v>
      </c>
      <c r="AO10" s="105">
        <f t="shared" si="15"/>
        <v>0.00349185194151847</v>
      </c>
      <c r="AP10" s="106">
        <f t="shared" si="16"/>
        <v>0.108</v>
      </c>
      <c r="AQ10" s="107">
        <f t="shared" si="29"/>
        <v>0.0132</v>
      </c>
      <c r="AR10" s="105">
        <f t="shared" si="30"/>
        <v>0.169656327059135</v>
      </c>
      <c r="AS10" s="106">
        <f t="shared" si="31"/>
        <v>0.4</v>
      </c>
      <c r="AT10" s="107">
        <f t="shared" si="32"/>
        <v>70.2177753497464</v>
      </c>
    </row>
    <row r="11" spans="1:46">
      <c r="N11" s="106" t="s">
        <v>432</v>
      </c>
      <c r="O11" s="106">
        <v>150</v>
      </c>
      <c r="Q11">
        <v>4</v>
      </c>
      <c r="R11" s="105">
        <f t="shared" si="0"/>
        <v>10</v>
      </c>
      <c r="S11" s="106">
        <f t="shared" si="1"/>
        <v>0.0533333333333333</v>
      </c>
      <c r="T11" s="106">
        <f t="shared" si="2"/>
        <v>4</v>
      </c>
      <c r="U11" s="107">
        <f t="shared" si="3"/>
        <v>0.133333333333333</v>
      </c>
      <c r="V11" s="105">
        <f t="shared" si="4"/>
        <v>1</v>
      </c>
      <c r="W11" s="106">
        <f t="shared" si="5"/>
        <v>0.707106781186547</v>
      </c>
      <c r="X11" s="107">
        <f t="shared" si="6"/>
        <v>0.422842712474619</v>
      </c>
      <c r="Y11" s="105">
        <f t="shared" si="18"/>
        <v>0.377123616632825</v>
      </c>
      <c r="Z11" s="106">
        <f t="shared" si="8"/>
        <v>0.563790283299492</v>
      </c>
      <c r="AA11" s="106">
        <f t="shared" si="19"/>
        <v>0.346008266994072</v>
      </c>
      <c r="AB11" s="106">
        <v>0</v>
      </c>
      <c r="AC11" s="106">
        <f t="shared" si="20"/>
        <v>0.00119721720828241</v>
      </c>
      <c r="AD11" s="107">
        <f t="shared" si="21"/>
        <v>0.00119721720828241</v>
      </c>
      <c r="AE11" s="105">
        <f t="shared" si="22"/>
        <v>0.00502831488843767</v>
      </c>
      <c r="AF11" s="106">
        <f t="shared" si="23"/>
        <v>0.346008266994072</v>
      </c>
      <c r="AG11" s="106">
        <f t="shared" si="10"/>
        <v>0.0089791290621181</v>
      </c>
      <c r="AH11" s="106">
        <f t="shared" si="11"/>
        <v>0.0199022629404512</v>
      </c>
      <c r="AI11" s="107">
        <f t="shared" si="24"/>
        <v>0.0288813920025693</v>
      </c>
      <c r="AJ11" s="105">
        <f t="shared" si="25"/>
        <v>0.0533333333333333</v>
      </c>
      <c r="AK11" s="106">
        <f t="shared" si="26"/>
        <v>0.21166370040473</v>
      </c>
      <c r="AL11" s="106">
        <f t="shared" si="27"/>
        <v>0.0330666666666667</v>
      </c>
      <c r="AM11" s="106">
        <f t="shared" si="14"/>
        <v>0</v>
      </c>
      <c r="AN11" s="107">
        <f t="shared" si="28"/>
        <v>0.0330666666666667</v>
      </c>
      <c r="AO11" s="105">
        <f t="shared" si="15"/>
        <v>0.00598608604141207</v>
      </c>
      <c r="AP11" s="106">
        <f t="shared" si="16"/>
        <v>0.108</v>
      </c>
      <c r="AQ11" s="107">
        <f t="shared" si="29"/>
        <v>0.0132</v>
      </c>
      <c r="AR11" s="105">
        <f t="shared" si="30"/>
        <v>0.189134144710648</v>
      </c>
      <c r="AS11" s="106">
        <f t="shared" si="31"/>
        <v>0.533333333333333</v>
      </c>
      <c r="AT11" s="107">
        <f t="shared" si="32"/>
        <v>73.8210853140805</v>
      </c>
    </row>
    <row r="12" spans="1:46">
      <c r="N12" s="106" t="s">
        <v>433</v>
      </c>
      <c r="O12" s="106">
        <f>IOUT/(O11)</f>
        <v>0.0133333333333333</v>
      </c>
      <c r="Q12">
        <v>5</v>
      </c>
      <c r="R12" s="105">
        <f t="shared" si="0"/>
        <v>10</v>
      </c>
      <c r="S12" s="106">
        <f t="shared" si="1"/>
        <v>0.0666666666666667</v>
      </c>
      <c r="T12" s="106">
        <f t="shared" si="2"/>
        <v>4</v>
      </c>
      <c r="U12" s="107">
        <f t="shared" si="3"/>
        <v>0.166666666666667</v>
      </c>
      <c r="V12" s="105">
        <f t="shared" si="4"/>
        <v>2</v>
      </c>
      <c r="W12" s="106">
        <f t="shared" si="5"/>
        <v>0.714285714285714</v>
      </c>
      <c r="X12" s="107">
        <f t="shared" si="6"/>
        <v>0.285714285714286</v>
      </c>
      <c r="Y12" s="105">
        <f t="shared" si="18"/>
        <v>0.380952380952381</v>
      </c>
      <c r="Z12" s="106">
        <f t="shared" si="8"/>
        <v>0.614285714285714</v>
      </c>
      <c r="AA12" s="106">
        <f t="shared" si="19"/>
        <v>0.199678501990621</v>
      </c>
      <c r="AB12" s="106">
        <v>0</v>
      </c>
      <c r="AC12" s="106">
        <f t="shared" si="20"/>
        <v>0.000398715041572184</v>
      </c>
      <c r="AD12" s="107">
        <f t="shared" si="21"/>
        <v>0.000398715041572184</v>
      </c>
      <c r="AE12" s="105">
        <f t="shared" si="22"/>
        <v>0.00793650793650794</v>
      </c>
      <c r="AF12" s="106">
        <f t="shared" si="23"/>
        <v>0.199678501990621</v>
      </c>
      <c r="AG12" s="106">
        <f t="shared" si="10"/>
        <v>0.00299036281179138</v>
      </c>
      <c r="AH12" s="106">
        <f t="shared" si="11"/>
        <v>0.024877828675564</v>
      </c>
      <c r="AI12" s="107">
        <f t="shared" si="24"/>
        <v>0.0278681914873554</v>
      </c>
      <c r="AJ12" s="105">
        <f t="shared" si="25"/>
        <v>0.0666666666666667</v>
      </c>
      <c r="AK12" s="106">
        <f t="shared" si="26"/>
        <v>0.234037993772132</v>
      </c>
      <c r="AL12" s="106">
        <f t="shared" si="27"/>
        <v>0.0413333333333333</v>
      </c>
      <c r="AM12" s="106">
        <f t="shared" si="14"/>
        <v>0</v>
      </c>
      <c r="AN12" s="107">
        <f t="shared" si="28"/>
        <v>0.0413333333333333</v>
      </c>
      <c r="AO12" s="105">
        <f t="shared" si="15"/>
        <v>0.00199357520786092</v>
      </c>
      <c r="AP12" s="106">
        <f t="shared" si="16"/>
        <v>0.108</v>
      </c>
      <c r="AQ12" s="107">
        <f t="shared" si="29"/>
        <v>0.0132</v>
      </c>
      <c r="AR12" s="105">
        <f t="shared" si="30"/>
        <v>0.19239510002855</v>
      </c>
      <c r="AS12" s="106">
        <f t="shared" si="31"/>
        <v>0.666666666666667</v>
      </c>
      <c r="AT12" s="107">
        <f t="shared" si="32"/>
        <v>77.6040434474592</v>
      </c>
    </row>
    <row r="13" spans="1:46">
      <c r="Q13">
        <v>6</v>
      </c>
      <c r="R13" s="105">
        <f t="shared" si="0"/>
        <v>10</v>
      </c>
      <c r="S13" s="106">
        <f t="shared" si="1"/>
        <v>0.08</v>
      </c>
      <c r="T13" s="106">
        <f t="shared" si="2"/>
        <v>4</v>
      </c>
      <c r="U13" s="107">
        <f t="shared" si="3"/>
        <v>0.2</v>
      </c>
      <c r="V13" s="105">
        <f t="shared" si="4"/>
        <v>2</v>
      </c>
      <c r="W13" s="106">
        <f t="shared" si="5"/>
        <v>0.714285714285714</v>
      </c>
      <c r="X13" s="107">
        <f t="shared" si="6"/>
        <v>0.285714285714286</v>
      </c>
      <c r="Y13" s="105">
        <f t="shared" si="18"/>
        <v>0.380952380952381</v>
      </c>
      <c r="Z13" s="106">
        <f t="shared" si="8"/>
        <v>0.660952380952381</v>
      </c>
      <c r="AA13" s="106">
        <f t="shared" si="19"/>
        <v>0.22824050118119</v>
      </c>
      <c r="AB13" s="106">
        <v>0</v>
      </c>
      <c r="AC13" s="106">
        <f t="shared" si="20"/>
        <v>0.000520937263794407</v>
      </c>
      <c r="AD13" s="107">
        <f t="shared" si="21"/>
        <v>0.000520937263794407</v>
      </c>
      <c r="AE13" s="105">
        <f t="shared" si="22"/>
        <v>0.0114285714285714</v>
      </c>
      <c r="AF13" s="106">
        <f t="shared" si="23"/>
        <v>0.22824050118119</v>
      </c>
      <c r="AG13" s="106">
        <f t="shared" si="10"/>
        <v>0.00390702947845805</v>
      </c>
      <c r="AH13" s="106">
        <f t="shared" si="11"/>
        <v>0.0298533944106768</v>
      </c>
      <c r="AI13" s="107">
        <f t="shared" si="24"/>
        <v>0.0337604238891349</v>
      </c>
      <c r="AJ13" s="105">
        <f t="shared" si="25"/>
        <v>0.08</v>
      </c>
      <c r="AK13" s="106">
        <f t="shared" si="26"/>
        <v>0.258258769556223</v>
      </c>
      <c r="AL13" s="106">
        <f t="shared" si="27"/>
        <v>0.0496</v>
      </c>
      <c r="AM13" s="106">
        <f t="shared" si="14"/>
        <v>0</v>
      </c>
      <c r="AN13" s="107">
        <f t="shared" si="28"/>
        <v>0.0496</v>
      </c>
      <c r="AO13" s="105">
        <f t="shared" si="15"/>
        <v>0.00260468631897203</v>
      </c>
      <c r="AP13" s="106">
        <f t="shared" si="16"/>
        <v>0.108</v>
      </c>
      <c r="AQ13" s="107">
        <f t="shared" si="29"/>
        <v>0.0132</v>
      </c>
      <c r="AR13" s="105">
        <f t="shared" si="30"/>
        <v>0.207165110208107</v>
      </c>
      <c r="AS13" s="106">
        <f t="shared" si="31"/>
        <v>0.8</v>
      </c>
      <c r="AT13" s="107">
        <f t="shared" si="32"/>
        <v>79.4308690691935</v>
      </c>
    </row>
    <row r="14" spans="1:46">
      <c r="Q14">
        <v>7</v>
      </c>
      <c r="R14" s="105">
        <f t="shared" si="0"/>
        <v>10</v>
      </c>
      <c r="S14" s="106">
        <f t="shared" si="1"/>
        <v>0.0933333333333333</v>
      </c>
      <c r="T14" s="106">
        <f t="shared" si="2"/>
        <v>4</v>
      </c>
      <c r="U14" s="107">
        <f t="shared" si="3"/>
        <v>0.233333333333333</v>
      </c>
      <c r="V14" s="105">
        <f t="shared" si="4"/>
        <v>2</v>
      </c>
      <c r="W14" s="106">
        <f t="shared" si="5"/>
        <v>0.714285714285714</v>
      </c>
      <c r="X14" s="107">
        <f t="shared" si="6"/>
        <v>0.285714285714286</v>
      </c>
      <c r="Y14" s="105">
        <f t="shared" si="18"/>
        <v>0.380952380952381</v>
      </c>
      <c r="Z14" s="106">
        <f t="shared" si="8"/>
        <v>0.707619047619048</v>
      </c>
      <c r="AA14" s="106">
        <f t="shared" si="19"/>
        <v>0.257949938600274</v>
      </c>
      <c r="AB14" s="106">
        <v>0</v>
      </c>
      <c r="AC14" s="106">
        <f t="shared" si="20"/>
        <v>0.000665381708238851</v>
      </c>
      <c r="AD14" s="107">
        <f t="shared" si="21"/>
        <v>0.000665381708238851</v>
      </c>
      <c r="AE14" s="105">
        <f t="shared" si="22"/>
        <v>0.0155555555555556</v>
      </c>
      <c r="AF14" s="106">
        <f t="shared" si="23"/>
        <v>0.257949938600274</v>
      </c>
      <c r="AG14" s="106">
        <f t="shared" si="10"/>
        <v>0.00499036281179138</v>
      </c>
      <c r="AH14" s="106">
        <f t="shared" si="11"/>
        <v>0.0348289601457896</v>
      </c>
      <c r="AI14" s="107">
        <f t="shared" si="24"/>
        <v>0.039819322957581</v>
      </c>
      <c r="AJ14" s="105">
        <f t="shared" si="25"/>
        <v>0.0933333333333333</v>
      </c>
      <c r="AK14" s="106">
        <f t="shared" si="26"/>
        <v>0.282605459998472</v>
      </c>
      <c r="AL14" s="106">
        <f t="shared" si="27"/>
        <v>0.0578666666666667</v>
      </c>
      <c r="AM14" s="106">
        <f t="shared" si="14"/>
        <v>0</v>
      </c>
      <c r="AN14" s="107">
        <f t="shared" si="28"/>
        <v>0.0578666666666667</v>
      </c>
      <c r="AO14" s="105">
        <f t="shared" si="15"/>
        <v>0.00332690854119426</v>
      </c>
      <c r="AP14" s="106">
        <f t="shared" si="16"/>
        <v>0.108</v>
      </c>
      <c r="AQ14" s="107">
        <f t="shared" si="29"/>
        <v>0.0132</v>
      </c>
      <c r="AR14" s="105">
        <f t="shared" si="30"/>
        <v>0.222212898165442</v>
      </c>
      <c r="AS14" s="106">
        <f t="shared" si="31"/>
        <v>0.933333333333333</v>
      </c>
      <c r="AT14" s="107">
        <f t="shared" si="32"/>
        <v>80.7698824929552</v>
      </c>
    </row>
    <row r="15" spans="1:46">
      <c r="O15">
        <f>0.205*2.5/(Lm*Fsw)</f>
        <v>0.0683333333333333</v>
      </c>
      <c r="Q15">
        <v>8</v>
      </c>
      <c r="R15" s="105">
        <f t="shared" si="0"/>
        <v>10</v>
      </c>
      <c r="S15" s="106">
        <f t="shared" si="1"/>
        <v>0.106666666666667</v>
      </c>
      <c r="T15" s="106">
        <f t="shared" si="2"/>
        <v>4</v>
      </c>
      <c r="U15" s="107">
        <f t="shared" si="3"/>
        <v>0.266666666666667</v>
      </c>
      <c r="V15" s="105">
        <f t="shared" si="4"/>
        <v>2</v>
      </c>
      <c r="W15" s="106">
        <f t="shared" si="5"/>
        <v>0.714285714285714</v>
      </c>
      <c r="X15" s="107">
        <f t="shared" si="6"/>
        <v>0.285714285714286</v>
      </c>
      <c r="Y15" s="105">
        <f t="shared" si="18"/>
        <v>0.380952380952381</v>
      </c>
      <c r="Z15" s="106">
        <f t="shared" si="8"/>
        <v>0.754285714285714</v>
      </c>
      <c r="AA15" s="106">
        <f t="shared" si="19"/>
        <v>0.288452487405728</v>
      </c>
      <c r="AB15" s="106">
        <v>0</v>
      </c>
      <c r="AC15" s="106">
        <f t="shared" si="20"/>
        <v>0.000832048374905518</v>
      </c>
      <c r="AD15" s="107">
        <f t="shared" si="21"/>
        <v>0.000832048374905518</v>
      </c>
      <c r="AE15" s="105">
        <f t="shared" si="22"/>
        <v>0.0203174603174603</v>
      </c>
      <c r="AF15" s="106">
        <f t="shared" si="23"/>
        <v>0.288452487405728</v>
      </c>
      <c r="AG15" s="106">
        <f t="shared" si="10"/>
        <v>0.00624036281179138</v>
      </c>
      <c r="AH15" s="106">
        <f t="shared" si="11"/>
        <v>0.0398045258809024</v>
      </c>
      <c r="AI15" s="107">
        <f t="shared" si="24"/>
        <v>0.0460448886926938</v>
      </c>
      <c r="AJ15" s="105">
        <f t="shared" si="25"/>
        <v>0.106666666666667</v>
      </c>
      <c r="AK15" s="106">
        <f t="shared" si="26"/>
        <v>0.307048114199789</v>
      </c>
      <c r="AL15" s="106">
        <f t="shared" si="27"/>
        <v>0.0661333333333333</v>
      </c>
      <c r="AM15" s="106">
        <f t="shared" si="14"/>
        <v>0</v>
      </c>
      <c r="AN15" s="107">
        <f t="shared" si="28"/>
        <v>0.0661333333333333</v>
      </c>
      <c r="AO15" s="105">
        <f t="shared" si="15"/>
        <v>0.00416024187452759</v>
      </c>
      <c r="AP15" s="106">
        <f t="shared" si="16"/>
        <v>0.108</v>
      </c>
      <c r="AQ15" s="107">
        <f t="shared" si="29"/>
        <v>0.0132</v>
      </c>
      <c r="AR15" s="105">
        <f t="shared" si="30"/>
        <v>0.237538463900555</v>
      </c>
      <c r="AS15" s="106">
        <f t="shared" si="31"/>
        <v>1.06666666666667</v>
      </c>
      <c r="AT15" s="107">
        <f t="shared" si="32"/>
        <v>81.7867252372144</v>
      </c>
    </row>
    <row r="16" spans="1:46">
      <c r="Q16">
        <v>9</v>
      </c>
      <c r="R16" s="105">
        <f t="shared" si="0"/>
        <v>10</v>
      </c>
      <c r="S16" s="106">
        <f t="shared" si="1"/>
        <v>0.12</v>
      </c>
      <c r="T16" s="106">
        <f t="shared" si="2"/>
        <v>4</v>
      </c>
      <c r="U16" s="107">
        <f t="shared" si="3"/>
        <v>0.3</v>
      </c>
      <c r="V16" s="105">
        <f t="shared" si="4"/>
        <v>2</v>
      </c>
      <c r="W16" s="106">
        <f t="shared" si="5"/>
        <v>0.714285714285714</v>
      </c>
      <c r="X16" s="107">
        <f t="shared" si="6"/>
        <v>0.285714285714286</v>
      </c>
      <c r="Y16" s="105">
        <f t="shared" si="18"/>
        <v>0.380952380952381</v>
      </c>
      <c r="Z16" s="106">
        <f t="shared" si="8"/>
        <v>0.800952380952381</v>
      </c>
      <c r="AA16" s="106">
        <f t="shared" si="19"/>
        <v>0.319521089099672</v>
      </c>
      <c r="AB16" s="106">
        <v>0</v>
      </c>
      <c r="AC16" s="106">
        <f t="shared" si="20"/>
        <v>0.00102093726379441</v>
      </c>
      <c r="AD16" s="107">
        <f t="shared" si="21"/>
        <v>0.00102093726379441</v>
      </c>
      <c r="AE16" s="105">
        <f t="shared" si="22"/>
        <v>0.0257142857142857</v>
      </c>
      <c r="AF16" s="106">
        <f t="shared" si="23"/>
        <v>0.319521089099672</v>
      </c>
      <c r="AG16" s="106">
        <f t="shared" si="10"/>
        <v>0.00765702947845805</v>
      </c>
      <c r="AH16" s="106">
        <f t="shared" si="11"/>
        <v>0.0447800916160152</v>
      </c>
      <c r="AI16" s="107">
        <f t="shared" si="24"/>
        <v>0.0524371210944733</v>
      </c>
      <c r="AJ16" s="105">
        <f t="shared" si="25"/>
        <v>0.12</v>
      </c>
      <c r="AK16" s="106">
        <f t="shared" si="26"/>
        <v>0.331565509802798</v>
      </c>
      <c r="AL16" s="106">
        <f t="shared" si="27"/>
        <v>0.0744</v>
      </c>
      <c r="AM16" s="106">
        <f t="shared" si="14"/>
        <v>0</v>
      </c>
      <c r="AN16" s="107">
        <f t="shared" si="28"/>
        <v>0.0744</v>
      </c>
      <c r="AO16" s="105">
        <f t="shared" si="15"/>
        <v>0.00510468631897204</v>
      </c>
      <c r="AP16" s="106">
        <f t="shared" si="16"/>
        <v>0.108</v>
      </c>
      <c r="AQ16" s="107">
        <f t="shared" si="29"/>
        <v>0.0132</v>
      </c>
      <c r="AR16" s="105">
        <f t="shared" si="30"/>
        <v>0.253141807413445</v>
      </c>
      <c r="AS16" s="106">
        <f t="shared" si="31"/>
        <v>1.2</v>
      </c>
      <c r="AT16" s="107">
        <f t="shared" si="32"/>
        <v>82.5796900122204</v>
      </c>
    </row>
    <row r="17" spans="17:46">
      <c r="Q17">
        <v>10</v>
      </c>
      <c r="R17" s="105">
        <f t="shared" si="0"/>
        <v>10</v>
      </c>
      <c r="S17" s="106">
        <f t="shared" si="1"/>
        <v>0.133333333333333</v>
      </c>
      <c r="T17" s="106">
        <f t="shared" si="2"/>
        <v>4</v>
      </c>
      <c r="U17" s="107">
        <f t="shared" si="3"/>
        <v>0.333333333333333</v>
      </c>
      <c r="V17" s="105">
        <f t="shared" si="4"/>
        <v>2</v>
      </c>
      <c r="W17" s="106">
        <f t="shared" si="5"/>
        <v>0.714285714285714</v>
      </c>
      <c r="X17" s="107">
        <f t="shared" si="6"/>
        <v>0.285714285714286</v>
      </c>
      <c r="Y17" s="105">
        <f t="shared" si="18"/>
        <v>0.380952380952381</v>
      </c>
      <c r="Z17" s="106">
        <f t="shared" si="8"/>
        <v>0.847619047619048</v>
      </c>
      <c r="AA17" s="106">
        <f t="shared" si="19"/>
        <v>0.35100546646819</v>
      </c>
      <c r="AB17" s="106">
        <v>0</v>
      </c>
      <c r="AC17" s="106">
        <f t="shared" si="20"/>
        <v>0.00123204837490552</v>
      </c>
      <c r="AD17" s="107">
        <f t="shared" si="21"/>
        <v>0.00123204837490552</v>
      </c>
      <c r="AE17" s="105">
        <f t="shared" si="22"/>
        <v>0.0317460317460317</v>
      </c>
      <c r="AF17" s="106">
        <f t="shared" si="23"/>
        <v>0.35100546646819</v>
      </c>
      <c r="AG17" s="106">
        <f t="shared" si="10"/>
        <v>0.00924036281179138</v>
      </c>
      <c r="AH17" s="106">
        <f t="shared" si="11"/>
        <v>0.049755657351128</v>
      </c>
      <c r="AI17" s="107">
        <f t="shared" si="24"/>
        <v>0.0589960201629194</v>
      </c>
      <c r="AJ17" s="105">
        <f t="shared" si="25"/>
        <v>0.133333333333333</v>
      </c>
      <c r="AK17" s="106">
        <f t="shared" si="26"/>
        <v>0.356142211191508</v>
      </c>
      <c r="AL17" s="106">
        <f t="shared" si="27"/>
        <v>0.0826666666666667</v>
      </c>
      <c r="AM17" s="106">
        <f t="shared" si="14"/>
        <v>0</v>
      </c>
      <c r="AN17" s="107">
        <f t="shared" si="28"/>
        <v>0.0826666666666667</v>
      </c>
      <c r="AO17" s="105">
        <f t="shared" si="15"/>
        <v>0.00616024187452759</v>
      </c>
      <c r="AP17" s="106">
        <f t="shared" si="16"/>
        <v>0.108</v>
      </c>
      <c r="AQ17" s="107">
        <f t="shared" si="29"/>
        <v>0.0132</v>
      </c>
      <c r="AR17" s="105">
        <f t="shared" si="30"/>
        <v>0.269022928704114</v>
      </c>
      <c r="AS17" s="106">
        <f t="shared" si="31"/>
        <v>1.33333333333333</v>
      </c>
      <c r="AT17" s="107">
        <f t="shared" si="32"/>
        <v>83.2107918146716</v>
      </c>
    </row>
    <row r="18" spans="17:46">
      <c r="Q18">
        <v>11</v>
      </c>
      <c r="R18" s="105">
        <f t="shared" si="0"/>
        <v>10</v>
      </c>
      <c r="S18" s="106">
        <f t="shared" si="1"/>
        <v>0.146666666666667</v>
      </c>
      <c r="T18" s="106">
        <f t="shared" si="2"/>
        <v>4</v>
      </c>
      <c r="U18" s="107">
        <f t="shared" si="3"/>
        <v>0.366666666666667</v>
      </c>
      <c r="V18" s="105">
        <f t="shared" si="4"/>
        <v>2</v>
      </c>
      <c r="W18" s="106">
        <f t="shared" si="5"/>
        <v>0.714285714285714</v>
      </c>
      <c r="X18" s="107">
        <f t="shared" si="6"/>
        <v>0.285714285714286</v>
      </c>
      <c r="Y18" s="105">
        <f t="shared" si="18"/>
        <v>0.380952380952381</v>
      </c>
      <c r="Z18" s="106">
        <f t="shared" si="8"/>
        <v>0.894285714285714</v>
      </c>
      <c r="AA18" s="106">
        <f t="shared" si="19"/>
        <v>0.382803044428705</v>
      </c>
      <c r="AB18" s="106">
        <v>0</v>
      </c>
      <c r="AC18" s="106">
        <f t="shared" si="20"/>
        <v>0.00146538170823885</v>
      </c>
      <c r="AD18" s="107">
        <f t="shared" si="21"/>
        <v>0.00146538170823885</v>
      </c>
      <c r="AE18" s="105">
        <f t="shared" si="22"/>
        <v>0.0384126984126984</v>
      </c>
      <c r="AF18" s="106">
        <f t="shared" si="23"/>
        <v>0.382803044428705</v>
      </c>
      <c r="AG18" s="106">
        <f t="shared" si="10"/>
        <v>0.0109903628117914</v>
      </c>
      <c r="AH18" s="106">
        <f t="shared" si="11"/>
        <v>0.0547312230862408</v>
      </c>
      <c r="AI18" s="107">
        <f t="shared" si="24"/>
        <v>0.0657215858980322</v>
      </c>
      <c r="AJ18" s="105">
        <f t="shared" si="25"/>
        <v>0.146666666666667</v>
      </c>
      <c r="AK18" s="106">
        <f t="shared" si="26"/>
        <v>0.380766734810708</v>
      </c>
      <c r="AL18" s="106">
        <f t="shared" si="27"/>
        <v>0.0909333333333333</v>
      </c>
      <c r="AM18" s="106">
        <f t="shared" si="14"/>
        <v>0</v>
      </c>
      <c r="AN18" s="107">
        <f t="shared" si="28"/>
        <v>0.0909333333333333</v>
      </c>
      <c r="AO18" s="105">
        <f t="shared" si="15"/>
        <v>0.00732690854119426</v>
      </c>
      <c r="AP18" s="106">
        <f t="shared" si="16"/>
        <v>0.108</v>
      </c>
      <c r="AQ18" s="107">
        <f t="shared" si="29"/>
        <v>0.0132</v>
      </c>
      <c r="AR18" s="105">
        <f t="shared" si="30"/>
        <v>0.28518182777256</v>
      </c>
      <c r="AS18" s="106">
        <f t="shared" si="31"/>
        <v>1.46666666666667</v>
      </c>
      <c r="AT18" s="107">
        <f t="shared" si="32"/>
        <v>83.7210906834813</v>
      </c>
    </row>
    <row r="19" spans="17:46">
      <c r="Q19">
        <v>12</v>
      </c>
      <c r="R19" s="105">
        <f t="shared" si="0"/>
        <v>10</v>
      </c>
      <c r="S19" s="106">
        <f t="shared" si="1"/>
        <v>0.16</v>
      </c>
      <c r="T19" s="106">
        <f t="shared" si="2"/>
        <v>4</v>
      </c>
      <c r="U19" s="107">
        <f t="shared" si="3"/>
        <v>0.4</v>
      </c>
      <c r="V19" s="105">
        <f t="shared" si="4"/>
        <v>2</v>
      </c>
      <c r="W19" s="106">
        <f t="shared" si="5"/>
        <v>0.714285714285714</v>
      </c>
      <c r="X19" s="107">
        <f t="shared" si="6"/>
        <v>0.285714285714286</v>
      </c>
      <c r="Y19" s="105">
        <f t="shared" si="18"/>
        <v>0.380952380952381</v>
      </c>
      <c r="Z19" s="106">
        <f t="shared" si="8"/>
        <v>0.940952380952381</v>
      </c>
      <c r="AA19" s="106">
        <f t="shared" si="19"/>
        <v>0.414841808861451</v>
      </c>
      <c r="AB19" s="106">
        <v>0</v>
      </c>
      <c r="AC19" s="106">
        <f t="shared" si="20"/>
        <v>0.00172093726379441</v>
      </c>
      <c r="AD19" s="107">
        <f t="shared" si="21"/>
        <v>0.00172093726379441</v>
      </c>
      <c r="AE19" s="105">
        <f t="shared" si="22"/>
        <v>0.0457142857142857</v>
      </c>
      <c r="AF19" s="106">
        <f t="shared" si="23"/>
        <v>0.414841808861451</v>
      </c>
      <c r="AG19" s="106">
        <f t="shared" si="10"/>
        <v>0.0129070294784581</v>
      </c>
      <c r="AH19" s="106">
        <f t="shared" si="11"/>
        <v>0.0597067888213536</v>
      </c>
      <c r="AI19" s="107">
        <f t="shared" si="24"/>
        <v>0.0726138182998117</v>
      </c>
      <c r="AJ19" s="105">
        <f t="shared" si="25"/>
        <v>0.16</v>
      </c>
      <c r="AK19" s="106">
        <f t="shared" si="26"/>
        <v>0.40543036705319</v>
      </c>
      <c r="AL19" s="106">
        <f t="shared" si="27"/>
        <v>0.0992</v>
      </c>
      <c r="AM19" s="106">
        <f t="shared" si="14"/>
        <v>0</v>
      </c>
      <c r="AN19" s="107">
        <f t="shared" si="28"/>
        <v>0.0992</v>
      </c>
      <c r="AO19" s="105">
        <f t="shared" si="15"/>
        <v>0.00860468631897203</v>
      </c>
      <c r="AP19" s="106">
        <f t="shared" si="16"/>
        <v>0.108</v>
      </c>
      <c r="AQ19" s="107">
        <f t="shared" si="29"/>
        <v>0.0132</v>
      </c>
      <c r="AR19" s="105">
        <f t="shared" si="30"/>
        <v>0.301618504618784</v>
      </c>
      <c r="AS19" s="106">
        <f t="shared" si="31"/>
        <v>1.6</v>
      </c>
      <c r="AT19" s="107">
        <f t="shared" si="32"/>
        <v>84.1388530934995</v>
      </c>
    </row>
    <row r="20" spans="17:46">
      <c r="Q20">
        <v>13</v>
      </c>
      <c r="R20" s="105">
        <f t="shared" si="0"/>
        <v>10</v>
      </c>
      <c r="S20" s="106">
        <f t="shared" si="1"/>
        <v>0.173333333333333</v>
      </c>
      <c r="T20" s="106">
        <f t="shared" si="2"/>
        <v>4</v>
      </c>
      <c r="U20" s="107">
        <f t="shared" si="3"/>
        <v>0.433333333333333</v>
      </c>
      <c r="V20" s="105">
        <f t="shared" si="4"/>
        <v>2</v>
      </c>
      <c r="W20" s="106">
        <f t="shared" si="5"/>
        <v>0.714285714285714</v>
      </c>
      <c r="X20" s="107">
        <f t="shared" si="6"/>
        <v>0.285714285714286</v>
      </c>
      <c r="Y20" s="105">
        <f t="shared" si="18"/>
        <v>0.380952380952381</v>
      </c>
      <c r="Z20" s="106">
        <f t="shared" ref="Z20:Z71" si="33">CHOOSE(V20,Y20,U20+S20+(Y20))</f>
        <v>0.987619047619048</v>
      </c>
      <c r="AA20" s="106">
        <f t="shared" si="19"/>
        <v>0.447069909697822</v>
      </c>
      <c r="AB20" s="106">
        <v>0</v>
      </c>
      <c r="AC20" s="106">
        <f t="shared" si="20"/>
        <v>0.00199871504157218</v>
      </c>
      <c r="AD20" s="107">
        <f t="shared" si="21"/>
        <v>0.00199871504157218</v>
      </c>
      <c r="AE20" s="105">
        <f t="shared" si="22"/>
        <v>0.0536507936507937</v>
      </c>
      <c r="AF20" s="106">
        <f t="shared" si="23"/>
        <v>0.447069909697822</v>
      </c>
      <c r="AG20" s="106">
        <f t="shared" si="10"/>
        <v>0.0149903628117914</v>
      </c>
      <c r="AH20" s="106">
        <f t="shared" si="11"/>
        <v>0.0646823545564665</v>
      </c>
      <c r="AI20" s="107">
        <f t="shared" si="24"/>
        <v>0.0796727173682578</v>
      </c>
      <c r="AJ20" s="105">
        <f t="shared" si="25"/>
        <v>0.173333333333333</v>
      </c>
      <c r="AK20" s="106">
        <f t="shared" si="26"/>
        <v>0.430126380455565</v>
      </c>
      <c r="AL20" s="106">
        <f t="shared" si="27"/>
        <v>0.107466666666667</v>
      </c>
      <c r="AM20" s="106">
        <f t="shared" si="14"/>
        <v>0</v>
      </c>
      <c r="AN20" s="107">
        <f t="shared" si="28"/>
        <v>0.107466666666667</v>
      </c>
      <c r="AO20" s="105">
        <f t="shared" si="15"/>
        <v>0.00999357520786092</v>
      </c>
      <c r="AP20" s="106">
        <f t="shared" si="16"/>
        <v>0.108</v>
      </c>
      <c r="AQ20" s="107">
        <f t="shared" si="29"/>
        <v>0.0132</v>
      </c>
      <c r="AR20" s="105">
        <f t="shared" si="30"/>
        <v>0.318332959242785</v>
      </c>
      <c r="AS20" s="106">
        <f t="shared" si="31"/>
        <v>1.73333333333333</v>
      </c>
      <c r="AT20" s="107">
        <f t="shared" si="32"/>
        <v>84.4841746245643</v>
      </c>
    </row>
    <row r="21" spans="17:46">
      <c r="Q21">
        <v>14</v>
      </c>
      <c r="R21" s="105">
        <f t="shared" si="0"/>
        <v>10</v>
      </c>
      <c r="S21" s="106">
        <f t="shared" si="1"/>
        <v>0.186666666666667</v>
      </c>
      <c r="T21" s="106">
        <f t="shared" si="2"/>
        <v>4</v>
      </c>
      <c r="U21" s="107">
        <f t="shared" si="3"/>
        <v>0.466666666666667</v>
      </c>
      <c r="V21" s="105">
        <f t="shared" si="4"/>
        <v>2</v>
      </c>
      <c r="W21" s="106">
        <f t="shared" si="5"/>
        <v>0.714285714285714</v>
      </c>
      <c r="X21" s="107">
        <f t="shared" si="6"/>
        <v>0.285714285714286</v>
      </c>
      <c r="Y21" s="105">
        <f t="shared" si="18"/>
        <v>0.380952380952381</v>
      </c>
      <c r="Z21" s="106">
        <f t="shared" si="33"/>
        <v>1.03428571428571</v>
      </c>
      <c r="AA21" s="106">
        <f t="shared" si="19"/>
        <v>0.479449167438237</v>
      </c>
      <c r="AB21" s="106">
        <v>0</v>
      </c>
      <c r="AC21" s="106">
        <f t="shared" si="20"/>
        <v>0.00229871504157218</v>
      </c>
      <c r="AD21" s="107">
        <f t="shared" si="21"/>
        <v>0.00229871504157218</v>
      </c>
      <c r="AE21" s="105">
        <f t="shared" si="22"/>
        <v>0.0622222222222222</v>
      </c>
      <c r="AF21" s="106">
        <f t="shared" si="23"/>
        <v>0.479449167438237</v>
      </c>
      <c r="AG21" s="106">
        <f t="shared" si="10"/>
        <v>0.0172403628117914</v>
      </c>
      <c r="AH21" s="106">
        <f t="shared" si="11"/>
        <v>0.0696579202915792</v>
      </c>
      <c r="AI21" s="107">
        <f t="shared" si="24"/>
        <v>0.0868982831033706</v>
      </c>
      <c r="AJ21" s="105">
        <f t="shared" si="25"/>
        <v>0.186666666666667</v>
      </c>
      <c r="AK21" s="106">
        <f t="shared" si="26"/>
        <v>0.454849500651776</v>
      </c>
      <c r="AL21" s="106">
        <f t="shared" si="27"/>
        <v>0.115733333333333</v>
      </c>
      <c r="AM21" s="106">
        <f t="shared" si="14"/>
        <v>0</v>
      </c>
      <c r="AN21" s="107">
        <f t="shared" si="28"/>
        <v>0.115733333333333</v>
      </c>
      <c r="AO21" s="105">
        <f t="shared" si="15"/>
        <v>0.0114935752078609</v>
      </c>
      <c r="AP21" s="106">
        <f t="shared" si="16"/>
        <v>0.108</v>
      </c>
      <c r="AQ21" s="107">
        <f t="shared" si="29"/>
        <v>0.0132</v>
      </c>
      <c r="AR21" s="105">
        <f t="shared" si="30"/>
        <v>0.335325191644565</v>
      </c>
      <c r="AS21" s="106">
        <f t="shared" si="31"/>
        <v>1.86666666666667</v>
      </c>
      <c r="AT21" s="107">
        <f t="shared" si="32"/>
        <v>84.7717333568283</v>
      </c>
    </row>
    <row r="22" spans="17:46">
      <c r="Q22">
        <v>15</v>
      </c>
      <c r="R22" s="105">
        <f t="shared" si="0"/>
        <v>10</v>
      </c>
      <c r="S22" s="106">
        <f t="shared" si="1"/>
        <v>0.2</v>
      </c>
      <c r="T22" s="106">
        <f t="shared" si="2"/>
        <v>4</v>
      </c>
      <c r="U22" s="107">
        <f t="shared" si="3"/>
        <v>0.5</v>
      </c>
      <c r="V22" s="105">
        <f t="shared" si="4"/>
        <v>2</v>
      </c>
      <c r="W22" s="106">
        <f t="shared" si="5"/>
        <v>0.714285714285714</v>
      </c>
      <c r="X22" s="107">
        <f t="shared" si="6"/>
        <v>0.285714285714286</v>
      </c>
      <c r="Y22" s="105">
        <f t="shared" si="18"/>
        <v>0.380952380952381</v>
      </c>
      <c r="Z22" s="106">
        <f t="shared" si="33"/>
        <v>1.08095238095238</v>
      </c>
      <c r="AA22" s="106">
        <f t="shared" si="19"/>
        <v>0.511950902313338</v>
      </c>
      <c r="AB22" s="106">
        <v>0</v>
      </c>
      <c r="AC22" s="106">
        <f t="shared" si="20"/>
        <v>0.00262093726379441</v>
      </c>
      <c r="AD22" s="107">
        <f t="shared" si="21"/>
        <v>0.00262093726379441</v>
      </c>
      <c r="AE22" s="105">
        <f t="shared" si="22"/>
        <v>0.0714285714285714</v>
      </c>
      <c r="AF22" s="106">
        <f t="shared" si="23"/>
        <v>0.511950902313338</v>
      </c>
      <c r="AG22" s="106">
        <f t="shared" si="10"/>
        <v>0.0196570294784581</v>
      </c>
      <c r="AH22" s="106">
        <f t="shared" si="11"/>
        <v>0.074633486026692</v>
      </c>
      <c r="AI22" s="107">
        <f t="shared" si="24"/>
        <v>0.0942905155051501</v>
      </c>
      <c r="AJ22" s="105">
        <f t="shared" si="25"/>
        <v>0.2</v>
      </c>
      <c r="AK22" s="106">
        <f t="shared" si="26"/>
        <v>0.479595535599509</v>
      </c>
      <c r="AL22" s="106">
        <f t="shared" si="27"/>
        <v>0.124</v>
      </c>
      <c r="AM22" s="106">
        <f t="shared" si="14"/>
        <v>0</v>
      </c>
      <c r="AN22" s="107">
        <f t="shared" si="28"/>
        <v>0.124</v>
      </c>
      <c r="AO22" s="105">
        <f t="shared" si="15"/>
        <v>0.013104686318972</v>
      </c>
      <c r="AP22" s="106">
        <f t="shared" si="16"/>
        <v>0.108</v>
      </c>
      <c r="AQ22" s="107">
        <f t="shared" si="29"/>
        <v>0.0132</v>
      </c>
      <c r="AR22" s="105">
        <f t="shared" si="30"/>
        <v>0.352595201824122</v>
      </c>
      <c r="AS22" s="106">
        <f t="shared" si="31"/>
        <v>2</v>
      </c>
      <c r="AT22" s="107">
        <f t="shared" si="32"/>
        <v>85.0125001721192</v>
      </c>
    </row>
    <row r="23" spans="17:46">
      <c r="Q23">
        <v>16</v>
      </c>
      <c r="R23" s="105">
        <f t="shared" si="0"/>
        <v>10</v>
      </c>
      <c r="S23" s="106">
        <f t="shared" si="1"/>
        <v>0.213333333333333</v>
      </c>
      <c r="T23" s="106">
        <f t="shared" si="2"/>
        <v>4</v>
      </c>
      <c r="U23" s="107">
        <f t="shared" si="3"/>
        <v>0.533333333333333</v>
      </c>
      <c r="V23" s="105">
        <f t="shared" si="4"/>
        <v>2</v>
      </c>
      <c r="W23" s="106">
        <f t="shared" si="5"/>
        <v>0.714285714285714</v>
      </c>
      <c r="X23" s="107">
        <f t="shared" si="6"/>
        <v>0.285714285714286</v>
      </c>
      <c r="Y23" s="105">
        <f t="shared" si="18"/>
        <v>0.380952380952381</v>
      </c>
      <c r="Z23" s="106">
        <f t="shared" si="33"/>
        <v>1.12761904761905</v>
      </c>
      <c r="AA23" s="106">
        <f t="shared" si="19"/>
        <v>0.544553184568675</v>
      </c>
      <c r="AB23" s="106">
        <v>0</v>
      </c>
      <c r="AC23" s="106">
        <f t="shared" si="20"/>
        <v>0.00296538170823885</v>
      </c>
      <c r="AD23" s="107">
        <f t="shared" si="21"/>
        <v>0.00296538170823885</v>
      </c>
      <c r="AE23" s="105">
        <f t="shared" si="22"/>
        <v>0.0812698412698413</v>
      </c>
      <c r="AF23" s="106">
        <f t="shared" si="23"/>
        <v>0.544553184568675</v>
      </c>
      <c r="AG23" s="106">
        <f t="shared" si="10"/>
        <v>0.0222403628117914</v>
      </c>
      <c r="AH23" s="106">
        <f t="shared" si="11"/>
        <v>0.0796090517618049</v>
      </c>
      <c r="AI23" s="107">
        <f t="shared" si="24"/>
        <v>0.101849414573596</v>
      </c>
      <c r="AJ23" s="105">
        <f t="shared" si="25"/>
        <v>0.213333333333333</v>
      </c>
      <c r="AK23" s="106">
        <f t="shared" si="26"/>
        <v>0.504361112433576</v>
      </c>
      <c r="AL23" s="106">
        <f t="shared" si="27"/>
        <v>0.132266666666667</v>
      </c>
      <c r="AM23" s="106">
        <f t="shared" si="14"/>
        <v>0</v>
      </c>
      <c r="AN23" s="107">
        <f t="shared" si="28"/>
        <v>0.132266666666667</v>
      </c>
      <c r="AO23" s="105">
        <f t="shared" si="15"/>
        <v>0.0148269085411943</v>
      </c>
      <c r="AP23" s="106">
        <f t="shared" si="16"/>
        <v>0.108</v>
      </c>
      <c r="AQ23" s="107">
        <f t="shared" si="29"/>
        <v>0.0132</v>
      </c>
      <c r="AR23" s="105">
        <f t="shared" si="30"/>
        <v>0.370142989781457</v>
      </c>
      <c r="AS23" s="106">
        <f t="shared" si="31"/>
        <v>2.13333333333333</v>
      </c>
      <c r="AT23" s="107">
        <f t="shared" si="32"/>
        <v>85.2148396066742</v>
      </c>
    </row>
    <row r="24" spans="17:46">
      <c r="Q24">
        <v>17</v>
      </c>
      <c r="R24" s="105">
        <f t="shared" si="0"/>
        <v>10</v>
      </c>
      <c r="S24" s="106">
        <f t="shared" si="1"/>
        <v>0.226666666666667</v>
      </c>
      <c r="T24" s="106">
        <f t="shared" si="2"/>
        <v>4</v>
      </c>
      <c r="U24" s="107">
        <f t="shared" si="3"/>
        <v>0.566666666666667</v>
      </c>
      <c r="V24" s="105">
        <f t="shared" si="4"/>
        <v>2</v>
      </c>
      <c r="W24" s="106">
        <f t="shared" si="5"/>
        <v>0.714285714285714</v>
      </c>
      <c r="X24" s="107">
        <f t="shared" si="6"/>
        <v>0.285714285714286</v>
      </c>
      <c r="Y24" s="105">
        <f t="shared" si="18"/>
        <v>0.380952380952381</v>
      </c>
      <c r="Z24" s="106">
        <f t="shared" si="33"/>
        <v>1.17428571428571</v>
      </c>
      <c r="AA24" s="106">
        <f t="shared" si="19"/>
        <v>0.577238977799102</v>
      </c>
      <c r="AB24" s="106">
        <v>0</v>
      </c>
      <c r="AC24" s="106">
        <f t="shared" si="20"/>
        <v>0.00333204837490552</v>
      </c>
      <c r="AD24" s="107">
        <f t="shared" si="21"/>
        <v>0.00333204837490552</v>
      </c>
      <c r="AE24" s="105">
        <f t="shared" si="22"/>
        <v>0.0917460317460317</v>
      </c>
      <c r="AF24" s="106">
        <f t="shared" si="23"/>
        <v>0.577238977799102</v>
      </c>
      <c r="AG24" s="106">
        <f t="shared" si="10"/>
        <v>0.0249903628117914</v>
      </c>
      <c r="AH24" s="106">
        <f t="shared" si="11"/>
        <v>0.0845846174969177</v>
      </c>
      <c r="AI24" s="107">
        <f t="shared" si="24"/>
        <v>0.109574980308709</v>
      </c>
      <c r="AJ24" s="105">
        <f t="shared" si="25"/>
        <v>0.226666666666667</v>
      </c>
      <c r="AK24" s="106">
        <f t="shared" si="26"/>
        <v>0.529143487296151</v>
      </c>
      <c r="AL24" s="106">
        <f t="shared" si="27"/>
        <v>0.140533333333333</v>
      </c>
      <c r="AM24" s="106">
        <f t="shared" si="14"/>
        <v>0</v>
      </c>
      <c r="AN24" s="107">
        <f t="shared" si="28"/>
        <v>0.140533333333333</v>
      </c>
      <c r="AO24" s="105">
        <f t="shared" si="15"/>
        <v>0.0166602418745276</v>
      </c>
      <c r="AP24" s="106">
        <f t="shared" si="16"/>
        <v>0.108</v>
      </c>
      <c r="AQ24" s="107">
        <f t="shared" si="29"/>
        <v>0.0132</v>
      </c>
      <c r="AR24" s="105">
        <f t="shared" si="30"/>
        <v>0.38796855551657</v>
      </c>
      <c r="AS24" s="106">
        <f t="shared" si="31"/>
        <v>2.26666666666667</v>
      </c>
      <c r="AT24" s="107">
        <f t="shared" si="32"/>
        <v>85.3852404174199</v>
      </c>
    </row>
    <row r="25" spans="17:46">
      <c r="Q25">
        <v>18</v>
      </c>
      <c r="R25" s="105">
        <f t="shared" si="0"/>
        <v>10</v>
      </c>
      <c r="S25" s="106">
        <f t="shared" si="1"/>
        <v>0.24</v>
      </c>
      <c r="T25" s="106">
        <f t="shared" si="2"/>
        <v>4</v>
      </c>
      <c r="U25" s="107">
        <f t="shared" si="3"/>
        <v>0.6</v>
      </c>
      <c r="V25" s="105">
        <f t="shared" si="4"/>
        <v>2</v>
      </c>
      <c r="W25" s="106">
        <f t="shared" si="5"/>
        <v>0.714285714285714</v>
      </c>
      <c r="X25" s="107">
        <f t="shared" si="6"/>
        <v>0.285714285714286</v>
      </c>
      <c r="Y25" s="105">
        <f t="shared" si="18"/>
        <v>0.380952380952381</v>
      </c>
      <c r="Z25" s="106">
        <f t="shared" si="33"/>
        <v>1.22095238095238</v>
      </c>
      <c r="AA25" s="106">
        <f t="shared" si="19"/>
        <v>0.609994857666391</v>
      </c>
      <c r="AB25" s="106">
        <v>0</v>
      </c>
      <c r="AC25" s="106">
        <f t="shared" si="20"/>
        <v>0.00372093726379441</v>
      </c>
      <c r="AD25" s="107">
        <f t="shared" si="21"/>
        <v>0.00372093726379441</v>
      </c>
      <c r="AE25" s="105">
        <f t="shared" si="22"/>
        <v>0.102857142857143</v>
      </c>
      <c r="AF25" s="106">
        <f t="shared" si="23"/>
        <v>0.609994857666391</v>
      </c>
      <c r="AG25" s="106">
        <f t="shared" si="10"/>
        <v>0.0279070294784581</v>
      </c>
      <c r="AH25" s="106">
        <f t="shared" si="11"/>
        <v>0.0895601832320305</v>
      </c>
      <c r="AI25" s="107">
        <f t="shared" si="24"/>
        <v>0.117467212710489</v>
      </c>
      <c r="AJ25" s="105">
        <f t="shared" si="25"/>
        <v>0.24</v>
      </c>
      <c r="AK25" s="106">
        <f t="shared" si="26"/>
        <v>0.553940405644032</v>
      </c>
      <c r="AL25" s="106">
        <f t="shared" si="27"/>
        <v>0.1488</v>
      </c>
      <c r="AM25" s="106">
        <f t="shared" si="14"/>
        <v>0</v>
      </c>
      <c r="AN25" s="107">
        <f t="shared" si="28"/>
        <v>0.1488</v>
      </c>
      <c r="AO25" s="105">
        <f t="shared" si="15"/>
        <v>0.018604686318972</v>
      </c>
      <c r="AP25" s="106">
        <f t="shared" si="16"/>
        <v>0.108</v>
      </c>
      <c r="AQ25" s="107">
        <f t="shared" si="29"/>
        <v>0.0132</v>
      </c>
      <c r="AR25" s="105">
        <f t="shared" si="30"/>
        <v>0.406071899029461</v>
      </c>
      <c r="AS25" s="106">
        <f t="shared" si="31"/>
        <v>2.4</v>
      </c>
      <c r="AT25" s="107">
        <f t="shared" si="32"/>
        <v>85.5288134573491</v>
      </c>
    </row>
    <row r="26" spans="17:46">
      <c r="Q26">
        <v>19</v>
      </c>
      <c r="R26" s="105">
        <f t="shared" si="0"/>
        <v>10</v>
      </c>
      <c r="S26" s="106">
        <f t="shared" si="1"/>
        <v>0.253333333333333</v>
      </c>
      <c r="T26" s="106">
        <f t="shared" si="2"/>
        <v>4</v>
      </c>
      <c r="U26" s="107">
        <f t="shared" si="3"/>
        <v>0.633333333333333</v>
      </c>
      <c r="V26" s="105">
        <f t="shared" si="4"/>
        <v>2</v>
      </c>
      <c r="W26" s="106">
        <f t="shared" si="5"/>
        <v>0.714285714285714</v>
      </c>
      <c r="X26" s="107">
        <f t="shared" si="6"/>
        <v>0.285714285714286</v>
      </c>
      <c r="Y26" s="105">
        <f t="shared" si="18"/>
        <v>0.380952380952381</v>
      </c>
      <c r="Z26" s="106">
        <f t="shared" si="33"/>
        <v>1.26761904761905</v>
      </c>
      <c r="AA26" s="106">
        <f t="shared" si="19"/>
        <v>0.642810109978485</v>
      </c>
      <c r="AB26" s="106">
        <v>0</v>
      </c>
      <c r="AC26" s="106">
        <f t="shared" si="20"/>
        <v>0.00413204837490552</v>
      </c>
      <c r="AD26" s="107">
        <f t="shared" si="21"/>
        <v>0.00413204837490552</v>
      </c>
      <c r="AE26" s="105">
        <f t="shared" si="22"/>
        <v>0.114603174603175</v>
      </c>
      <c r="AF26" s="106">
        <f t="shared" si="23"/>
        <v>0.642810109978485</v>
      </c>
      <c r="AG26" s="106">
        <f t="shared" si="10"/>
        <v>0.0309903628117914</v>
      </c>
      <c r="AH26" s="106">
        <f t="shared" si="11"/>
        <v>0.0945357489671433</v>
      </c>
      <c r="AI26" s="107">
        <f t="shared" si="24"/>
        <v>0.125526111778935</v>
      </c>
      <c r="AJ26" s="105">
        <f t="shared" si="25"/>
        <v>0.253333333333333</v>
      </c>
      <c r="AK26" s="106">
        <f t="shared" si="26"/>
        <v>0.578749998105108</v>
      </c>
      <c r="AL26" s="106">
        <f t="shared" si="27"/>
        <v>0.157066666666667</v>
      </c>
      <c r="AM26" s="106">
        <f t="shared" si="14"/>
        <v>0</v>
      </c>
      <c r="AN26" s="107">
        <f t="shared" si="28"/>
        <v>0.157066666666667</v>
      </c>
      <c r="AO26" s="105">
        <f t="shared" si="15"/>
        <v>0.0206602418745276</v>
      </c>
      <c r="AP26" s="106">
        <f t="shared" si="16"/>
        <v>0.108</v>
      </c>
      <c r="AQ26" s="107">
        <f t="shared" si="29"/>
        <v>0.0132</v>
      </c>
      <c r="AR26" s="105">
        <f t="shared" si="30"/>
        <v>0.424453020320129</v>
      </c>
      <c r="AS26" s="106">
        <f t="shared" si="31"/>
        <v>2.53333333333333</v>
      </c>
      <c r="AT26" s="107">
        <f t="shared" si="32"/>
        <v>85.6496389674716</v>
      </c>
    </row>
    <row r="27" spans="17:46">
      <c r="Q27">
        <v>20</v>
      </c>
      <c r="R27" s="105">
        <f t="shared" si="0"/>
        <v>10</v>
      </c>
      <c r="S27" s="106">
        <f t="shared" si="1"/>
        <v>0.266666666666667</v>
      </c>
      <c r="T27" s="106">
        <f t="shared" si="2"/>
        <v>4</v>
      </c>
      <c r="U27" s="107">
        <f t="shared" si="3"/>
        <v>0.666666666666667</v>
      </c>
      <c r="V27" s="105">
        <f t="shared" si="4"/>
        <v>2</v>
      </c>
      <c r="W27" s="106">
        <f t="shared" si="5"/>
        <v>0.714285714285714</v>
      </c>
      <c r="X27" s="107">
        <f t="shared" si="6"/>
        <v>0.285714285714286</v>
      </c>
      <c r="Y27" s="105">
        <f t="shared" si="18"/>
        <v>0.380952380952381</v>
      </c>
      <c r="Z27" s="106">
        <f t="shared" si="33"/>
        <v>1.31428571428571</v>
      </c>
      <c r="AA27" s="106">
        <f t="shared" si="19"/>
        <v>0.675676084247389</v>
      </c>
      <c r="AB27" s="106">
        <v>0</v>
      </c>
      <c r="AC27" s="106">
        <f t="shared" si="20"/>
        <v>0.00456538170823885</v>
      </c>
      <c r="AD27" s="107">
        <f t="shared" si="21"/>
        <v>0.00456538170823885</v>
      </c>
      <c r="AE27" s="105">
        <f t="shared" si="22"/>
        <v>0.126984126984127</v>
      </c>
      <c r="AF27" s="106">
        <f t="shared" si="23"/>
        <v>0.675676084247389</v>
      </c>
      <c r="AG27" s="106">
        <f t="shared" si="10"/>
        <v>0.0342403628117914</v>
      </c>
      <c r="AH27" s="106">
        <f t="shared" si="11"/>
        <v>0.0995113147022561</v>
      </c>
      <c r="AI27" s="107">
        <f t="shared" si="24"/>
        <v>0.133751677514047</v>
      </c>
      <c r="AJ27" s="105">
        <f t="shared" si="25"/>
        <v>0.266666666666667</v>
      </c>
      <c r="AK27" s="106">
        <f t="shared" si="26"/>
        <v>0.60357070178455</v>
      </c>
      <c r="AL27" s="106">
        <f t="shared" si="27"/>
        <v>0.165333333333333</v>
      </c>
      <c r="AM27" s="106">
        <f t="shared" si="14"/>
        <v>0</v>
      </c>
      <c r="AN27" s="107">
        <f t="shared" si="28"/>
        <v>0.165333333333333</v>
      </c>
      <c r="AO27" s="105">
        <f t="shared" si="15"/>
        <v>0.0228269085411943</v>
      </c>
      <c r="AP27" s="106">
        <f t="shared" si="16"/>
        <v>0.108</v>
      </c>
      <c r="AQ27" s="107">
        <f t="shared" si="29"/>
        <v>0.0132</v>
      </c>
      <c r="AR27" s="105">
        <f t="shared" si="30"/>
        <v>0.443111919388575</v>
      </c>
      <c r="AS27" s="106">
        <f t="shared" si="31"/>
        <v>2.66666666666667</v>
      </c>
      <c r="AT27" s="107">
        <f t="shared" si="32"/>
        <v>85.7510138703906</v>
      </c>
    </row>
    <row r="28" spans="17:46">
      <c r="Q28">
        <v>21</v>
      </c>
      <c r="R28" s="105">
        <f t="shared" si="0"/>
        <v>10</v>
      </c>
      <c r="S28" s="106">
        <f t="shared" si="1"/>
        <v>0.28</v>
      </c>
      <c r="T28" s="106">
        <f t="shared" si="2"/>
        <v>4</v>
      </c>
      <c r="U28" s="107">
        <f t="shared" si="3"/>
        <v>0.7</v>
      </c>
      <c r="V28" s="105">
        <f t="shared" si="4"/>
        <v>2</v>
      </c>
      <c r="W28" s="106">
        <f t="shared" si="5"/>
        <v>0.714285714285714</v>
      </c>
      <c r="X28" s="107">
        <f t="shared" si="6"/>
        <v>0.285714285714286</v>
      </c>
      <c r="Y28" s="105">
        <f t="shared" si="18"/>
        <v>0.380952380952381</v>
      </c>
      <c r="Z28" s="106">
        <f t="shared" si="33"/>
        <v>1.36095238095238</v>
      </c>
      <c r="AA28" s="106">
        <f t="shared" si="19"/>
        <v>0.708585722675415</v>
      </c>
      <c r="AB28" s="106">
        <v>0</v>
      </c>
      <c r="AC28" s="106">
        <f t="shared" si="20"/>
        <v>0.00502093726379441</v>
      </c>
      <c r="AD28" s="107">
        <f t="shared" si="21"/>
        <v>0.00502093726379441</v>
      </c>
      <c r="AE28" s="105">
        <f t="shared" si="22"/>
        <v>0.14</v>
      </c>
      <c r="AF28" s="106">
        <f t="shared" si="23"/>
        <v>0.708585722675415</v>
      </c>
      <c r="AG28" s="106">
        <f t="shared" si="10"/>
        <v>0.0376570294784581</v>
      </c>
      <c r="AH28" s="106">
        <f t="shared" si="11"/>
        <v>0.104486880437369</v>
      </c>
      <c r="AI28" s="107">
        <f t="shared" si="24"/>
        <v>0.142143909915827</v>
      </c>
      <c r="AJ28" s="105">
        <f t="shared" si="25"/>
        <v>0.28</v>
      </c>
      <c r="AK28" s="106">
        <f t="shared" si="26"/>
        <v>0.62840120006503</v>
      </c>
      <c r="AL28" s="106">
        <f t="shared" si="27"/>
        <v>0.1736</v>
      </c>
      <c r="AM28" s="106">
        <f t="shared" si="14"/>
        <v>0</v>
      </c>
      <c r="AN28" s="107">
        <f t="shared" si="28"/>
        <v>0.1736</v>
      </c>
      <c r="AO28" s="105">
        <f t="shared" si="15"/>
        <v>0.025104686318972</v>
      </c>
      <c r="AP28" s="106">
        <f t="shared" si="16"/>
        <v>0.108</v>
      </c>
      <c r="AQ28" s="107">
        <f t="shared" si="29"/>
        <v>0.0132</v>
      </c>
      <c r="AR28" s="105">
        <f t="shared" si="30"/>
        <v>0.462048596234799</v>
      </c>
      <c r="AS28" s="106">
        <f t="shared" si="31"/>
        <v>2.8</v>
      </c>
      <c r="AT28" s="107">
        <f t="shared" si="32"/>
        <v>85.8356311194102</v>
      </c>
    </row>
    <row r="29" spans="17:46">
      <c r="Q29">
        <v>22</v>
      </c>
      <c r="R29" s="105">
        <f t="shared" si="0"/>
        <v>10</v>
      </c>
      <c r="S29" s="106">
        <f t="shared" si="1"/>
        <v>0.293333333333333</v>
      </c>
      <c r="T29" s="106">
        <f t="shared" si="2"/>
        <v>4</v>
      </c>
      <c r="U29" s="107">
        <f t="shared" si="3"/>
        <v>0.733333333333333</v>
      </c>
      <c r="V29" s="105">
        <f t="shared" si="4"/>
        <v>2</v>
      </c>
      <c r="W29" s="106">
        <f t="shared" si="5"/>
        <v>0.714285714285714</v>
      </c>
      <c r="X29" s="107">
        <f t="shared" si="6"/>
        <v>0.285714285714286</v>
      </c>
      <c r="Y29" s="105">
        <f t="shared" si="18"/>
        <v>0.380952380952381</v>
      </c>
      <c r="Z29" s="106">
        <f t="shared" si="33"/>
        <v>1.40761904761905</v>
      </c>
      <c r="AA29" s="106">
        <f t="shared" si="19"/>
        <v>0.741533211769519</v>
      </c>
      <c r="AB29" s="106">
        <v>0</v>
      </c>
      <c r="AC29" s="106">
        <f t="shared" si="20"/>
        <v>0.00549871504157219</v>
      </c>
      <c r="AD29" s="107">
        <f t="shared" si="21"/>
        <v>0.00549871504157219</v>
      </c>
      <c r="AE29" s="105">
        <f t="shared" si="22"/>
        <v>0.153650793650794</v>
      </c>
      <c r="AF29" s="106">
        <f t="shared" si="23"/>
        <v>0.741533211769519</v>
      </c>
      <c r="AG29" s="106">
        <f t="shared" si="10"/>
        <v>0.0412403628117914</v>
      </c>
      <c r="AH29" s="106">
        <f t="shared" si="11"/>
        <v>0.109462446172482</v>
      </c>
      <c r="AI29" s="107">
        <f t="shared" si="24"/>
        <v>0.150702808984273</v>
      </c>
      <c r="AJ29" s="105">
        <f t="shared" si="25"/>
        <v>0.293333333333333</v>
      </c>
      <c r="AK29" s="106">
        <f t="shared" si="26"/>
        <v>0.653240376031741</v>
      </c>
      <c r="AL29" s="106">
        <f t="shared" si="27"/>
        <v>0.181866666666667</v>
      </c>
      <c r="AM29" s="106">
        <f t="shared" si="14"/>
        <v>0</v>
      </c>
      <c r="AN29" s="107">
        <f t="shared" si="28"/>
        <v>0.181866666666667</v>
      </c>
      <c r="AO29" s="105">
        <f t="shared" si="15"/>
        <v>0.0274935752078609</v>
      </c>
      <c r="AP29" s="106">
        <f t="shared" si="16"/>
        <v>0.108</v>
      </c>
      <c r="AQ29" s="107">
        <f t="shared" si="29"/>
        <v>0.0132</v>
      </c>
      <c r="AR29" s="105">
        <f t="shared" si="30"/>
        <v>0.481263050858801</v>
      </c>
      <c r="AS29" s="106">
        <f t="shared" si="31"/>
        <v>2.93333333333333</v>
      </c>
      <c r="AT29" s="107">
        <f t="shared" si="32"/>
        <v>85.905711928742</v>
      </c>
    </row>
    <row r="30" spans="17:46">
      <c r="Q30">
        <v>23</v>
      </c>
      <c r="R30" s="105">
        <f t="shared" si="0"/>
        <v>10</v>
      </c>
      <c r="S30" s="106">
        <f t="shared" si="1"/>
        <v>0.306666666666667</v>
      </c>
      <c r="T30" s="106">
        <f t="shared" si="2"/>
        <v>4</v>
      </c>
      <c r="U30" s="107">
        <f t="shared" si="3"/>
        <v>0.766666666666667</v>
      </c>
      <c r="V30" s="105">
        <f t="shared" si="4"/>
        <v>2</v>
      </c>
      <c r="W30" s="106">
        <f t="shared" si="5"/>
        <v>0.714285714285714</v>
      </c>
      <c r="X30" s="107">
        <f t="shared" si="6"/>
        <v>0.285714285714286</v>
      </c>
      <c r="Y30" s="105">
        <f t="shared" si="18"/>
        <v>0.380952380952381</v>
      </c>
      <c r="Z30" s="106">
        <f t="shared" si="33"/>
        <v>1.45428571428571</v>
      </c>
      <c r="AA30" s="106">
        <f t="shared" si="19"/>
        <v>0.774513721090349</v>
      </c>
      <c r="AB30" s="106">
        <v>0</v>
      </c>
      <c r="AC30" s="106">
        <f t="shared" si="20"/>
        <v>0.00599871504157218</v>
      </c>
      <c r="AD30" s="107">
        <f t="shared" si="21"/>
        <v>0.00599871504157218</v>
      </c>
      <c r="AE30" s="105">
        <f t="shared" si="22"/>
        <v>0.167936507936508</v>
      </c>
      <c r="AF30" s="106">
        <f t="shared" si="23"/>
        <v>0.774513721090349</v>
      </c>
      <c r="AG30" s="106">
        <f t="shared" si="10"/>
        <v>0.0449903628117914</v>
      </c>
      <c r="AH30" s="106">
        <f t="shared" si="11"/>
        <v>0.114438011907594</v>
      </c>
      <c r="AI30" s="107">
        <f t="shared" si="24"/>
        <v>0.159428374719386</v>
      </c>
      <c r="AJ30" s="105">
        <f t="shared" si="25"/>
        <v>0.306666666666667</v>
      </c>
      <c r="AK30" s="106">
        <f t="shared" si="26"/>
        <v>0.678087276062201</v>
      </c>
      <c r="AL30" s="106">
        <f t="shared" si="27"/>
        <v>0.190133333333333</v>
      </c>
      <c r="AM30" s="106">
        <f t="shared" si="14"/>
        <v>0</v>
      </c>
      <c r="AN30" s="107">
        <f t="shared" si="28"/>
        <v>0.190133333333333</v>
      </c>
      <c r="AO30" s="105">
        <f t="shared" si="15"/>
        <v>0.0299935752078609</v>
      </c>
      <c r="AP30" s="106">
        <f t="shared" si="16"/>
        <v>0.108</v>
      </c>
      <c r="AQ30" s="107">
        <f t="shared" si="29"/>
        <v>0.0132</v>
      </c>
      <c r="AR30" s="105">
        <f t="shared" si="30"/>
        <v>0.50075528326058</v>
      </c>
      <c r="AS30" s="106">
        <f t="shared" si="31"/>
        <v>3.06666666666667</v>
      </c>
      <c r="AT30" s="107">
        <f t="shared" si="32"/>
        <v>85.9631047213018</v>
      </c>
    </row>
    <row r="31" spans="17:46">
      <c r="Q31">
        <v>24</v>
      </c>
      <c r="R31" s="105">
        <f t="shared" si="0"/>
        <v>10</v>
      </c>
      <c r="S31" s="106">
        <f t="shared" si="1"/>
        <v>0.32</v>
      </c>
      <c r="T31" s="106">
        <f t="shared" si="2"/>
        <v>4</v>
      </c>
      <c r="U31" s="107">
        <f t="shared" si="3"/>
        <v>0.8</v>
      </c>
      <c r="V31" s="105">
        <f t="shared" si="4"/>
        <v>2</v>
      </c>
      <c r="W31" s="106">
        <f t="shared" si="5"/>
        <v>0.714285714285714</v>
      </c>
      <c r="X31" s="107">
        <f t="shared" si="6"/>
        <v>0.285714285714286</v>
      </c>
      <c r="Y31" s="105">
        <f t="shared" si="18"/>
        <v>0.380952380952381</v>
      </c>
      <c r="Z31" s="106">
        <f t="shared" si="33"/>
        <v>1.50095238095238</v>
      </c>
      <c r="AA31" s="106">
        <f t="shared" si="19"/>
        <v>0.807523204855093</v>
      </c>
      <c r="AB31" s="106">
        <v>0</v>
      </c>
      <c r="AC31" s="106">
        <f t="shared" si="20"/>
        <v>0.00652093726379441</v>
      </c>
      <c r="AD31" s="107">
        <f t="shared" si="21"/>
        <v>0.00652093726379441</v>
      </c>
      <c r="AE31" s="105">
        <f t="shared" si="22"/>
        <v>0.182857142857143</v>
      </c>
      <c r="AF31" s="106">
        <f t="shared" si="23"/>
        <v>0.807523204855093</v>
      </c>
      <c r="AG31" s="106">
        <f t="shared" si="10"/>
        <v>0.048907029478458</v>
      </c>
      <c r="AH31" s="106">
        <f t="shared" si="11"/>
        <v>0.119413577642707</v>
      </c>
      <c r="AI31" s="107">
        <f t="shared" si="24"/>
        <v>0.168320607121165</v>
      </c>
      <c r="AJ31" s="105">
        <f t="shared" si="25"/>
        <v>0.32</v>
      </c>
      <c r="AK31" s="106">
        <f t="shared" si="26"/>
        <v>0.702941081088071</v>
      </c>
      <c r="AL31" s="106">
        <f t="shared" si="27"/>
        <v>0.1984</v>
      </c>
      <c r="AM31" s="106">
        <f t="shared" si="14"/>
        <v>0</v>
      </c>
      <c r="AN31" s="107">
        <f t="shared" si="28"/>
        <v>0.1984</v>
      </c>
      <c r="AO31" s="105">
        <f t="shared" si="15"/>
        <v>0.032604686318972</v>
      </c>
      <c r="AP31" s="106">
        <f t="shared" si="16"/>
        <v>0.108</v>
      </c>
      <c r="AQ31" s="107">
        <f t="shared" si="29"/>
        <v>0.0132</v>
      </c>
      <c r="AR31" s="105">
        <f t="shared" si="30"/>
        <v>0.520525293440137</v>
      </c>
      <c r="AS31" s="106">
        <f t="shared" si="31"/>
        <v>3.2</v>
      </c>
      <c r="AT31" s="107">
        <f t="shared" si="32"/>
        <v>86.0093601740081</v>
      </c>
    </row>
    <row r="32" spans="17:46">
      <c r="Q32">
        <v>25</v>
      </c>
      <c r="R32" s="105">
        <f t="shared" si="0"/>
        <v>10</v>
      </c>
      <c r="S32" s="106">
        <f t="shared" si="1"/>
        <v>0.333333333333333</v>
      </c>
      <c r="T32" s="106">
        <f t="shared" si="2"/>
        <v>4</v>
      </c>
      <c r="U32" s="107">
        <f t="shared" si="3"/>
        <v>0.833333333333333</v>
      </c>
      <c r="V32" s="105">
        <f t="shared" si="4"/>
        <v>2</v>
      </c>
      <c r="W32" s="106">
        <f t="shared" si="5"/>
        <v>0.714285714285714</v>
      </c>
      <c r="X32" s="107">
        <f t="shared" si="6"/>
        <v>0.285714285714286</v>
      </c>
      <c r="Y32" s="105">
        <f t="shared" si="18"/>
        <v>0.380952380952381</v>
      </c>
      <c r="Z32" s="106">
        <f t="shared" si="33"/>
        <v>1.54761904761905</v>
      </c>
      <c r="AA32" s="106">
        <f t="shared" si="19"/>
        <v>0.840558249512718</v>
      </c>
      <c r="AB32" s="106">
        <v>0</v>
      </c>
      <c r="AC32" s="106">
        <f t="shared" si="20"/>
        <v>0.00706538170823885</v>
      </c>
      <c r="AD32" s="107">
        <f t="shared" si="21"/>
        <v>0.00706538170823885</v>
      </c>
      <c r="AE32" s="105">
        <f t="shared" si="22"/>
        <v>0.198412698412698</v>
      </c>
      <c r="AF32" s="106">
        <f t="shared" si="23"/>
        <v>0.840558249512718</v>
      </c>
      <c r="AG32" s="106">
        <f t="shared" si="10"/>
        <v>0.0529903628117914</v>
      </c>
      <c r="AH32" s="106">
        <f t="shared" si="11"/>
        <v>0.12438914337782</v>
      </c>
      <c r="AI32" s="107">
        <f t="shared" si="24"/>
        <v>0.177379506189611</v>
      </c>
      <c r="AJ32" s="105">
        <f t="shared" si="25"/>
        <v>0.333333333333333</v>
      </c>
      <c r="AK32" s="106">
        <f t="shared" si="26"/>
        <v>0.727801083710047</v>
      </c>
      <c r="AL32" s="106">
        <f t="shared" si="27"/>
        <v>0.206666666666667</v>
      </c>
      <c r="AM32" s="106">
        <f t="shared" si="14"/>
        <v>0</v>
      </c>
      <c r="AN32" s="107">
        <f t="shared" si="28"/>
        <v>0.206666666666667</v>
      </c>
      <c r="AO32" s="105">
        <f t="shared" si="15"/>
        <v>0.0353269085411943</v>
      </c>
      <c r="AP32" s="106">
        <f t="shared" si="16"/>
        <v>0.108</v>
      </c>
      <c r="AQ32" s="107">
        <f t="shared" si="29"/>
        <v>0.0132</v>
      </c>
      <c r="AR32" s="105">
        <f t="shared" si="30"/>
        <v>0.540573081397472</v>
      </c>
      <c r="AS32" s="106">
        <f t="shared" si="31"/>
        <v>3.33333333333333</v>
      </c>
      <c r="AT32" s="107">
        <f t="shared" si="32"/>
        <v>86.0457888362531</v>
      </c>
    </row>
    <row r="33" spans="17:46">
      <c r="Q33">
        <v>26</v>
      </c>
      <c r="R33" s="105">
        <f t="shared" si="0"/>
        <v>10</v>
      </c>
      <c r="S33" s="106">
        <f t="shared" si="1"/>
        <v>0.346666666666667</v>
      </c>
      <c r="T33" s="106">
        <f t="shared" si="2"/>
        <v>4</v>
      </c>
      <c r="U33" s="107">
        <f t="shared" si="3"/>
        <v>0.866666666666667</v>
      </c>
      <c r="V33" s="105">
        <f t="shared" si="4"/>
        <v>2</v>
      </c>
      <c r="W33" s="106">
        <f t="shared" si="5"/>
        <v>0.714285714285714</v>
      </c>
      <c r="X33" s="107">
        <f t="shared" si="6"/>
        <v>0.285714285714286</v>
      </c>
      <c r="Y33" s="105">
        <f t="shared" si="18"/>
        <v>0.380952380952381</v>
      </c>
      <c r="Z33" s="106">
        <f t="shared" si="33"/>
        <v>1.59428571428571</v>
      </c>
      <c r="AA33" s="106">
        <f t="shared" si="19"/>
        <v>0.873615955377735</v>
      </c>
      <c r="AB33" s="106">
        <v>0</v>
      </c>
      <c r="AC33" s="106">
        <f t="shared" si="20"/>
        <v>0.00763204837490552</v>
      </c>
      <c r="AD33" s="107">
        <f t="shared" si="21"/>
        <v>0.00763204837490552</v>
      </c>
      <c r="AE33" s="105">
        <f t="shared" si="22"/>
        <v>0.214603174603175</v>
      </c>
      <c r="AF33" s="106">
        <f t="shared" si="23"/>
        <v>0.873615955377735</v>
      </c>
      <c r="AG33" s="106">
        <f t="shared" si="10"/>
        <v>0.0572403628117914</v>
      </c>
      <c r="AH33" s="106">
        <f t="shared" si="11"/>
        <v>0.129364709112933</v>
      </c>
      <c r="AI33" s="107">
        <f t="shared" si="24"/>
        <v>0.186605071924724</v>
      </c>
      <c r="AJ33" s="105">
        <f t="shared" si="25"/>
        <v>0.346666666666667</v>
      </c>
      <c r="AK33" s="106">
        <f t="shared" si="26"/>
        <v>0.752666669822849</v>
      </c>
      <c r="AL33" s="106">
        <f t="shared" si="27"/>
        <v>0.214933333333333</v>
      </c>
      <c r="AM33" s="106">
        <f t="shared" si="14"/>
        <v>0</v>
      </c>
      <c r="AN33" s="107">
        <f t="shared" si="28"/>
        <v>0.214933333333333</v>
      </c>
      <c r="AO33" s="105">
        <f t="shared" si="15"/>
        <v>0.0381602418745276</v>
      </c>
      <c r="AP33" s="106">
        <f t="shared" si="16"/>
        <v>0.108</v>
      </c>
      <c r="AQ33" s="107">
        <f t="shared" si="29"/>
        <v>0.0132</v>
      </c>
      <c r="AR33" s="105">
        <f t="shared" si="30"/>
        <v>0.560898647132585</v>
      </c>
      <c r="AS33" s="106">
        <f t="shared" si="31"/>
        <v>3.46666666666667</v>
      </c>
      <c r="AT33" s="107">
        <f t="shared" si="32"/>
        <v>86.0735058669109</v>
      </c>
    </row>
    <row r="34" spans="17:46">
      <c r="Q34">
        <v>27</v>
      </c>
      <c r="R34" s="105">
        <f t="shared" si="0"/>
        <v>10</v>
      </c>
      <c r="S34" s="106">
        <f t="shared" si="1"/>
        <v>0.36</v>
      </c>
      <c r="T34" s="106">
        <f t="shared" si="2"/>
        <v>4</v>
      </c>
      <c r="U34" s="107">
        <f t="shared" si="3"/>
        <v>0.9</v>
      </c>
      <c r="V34" s="105">
        <f t="shared" si="4"/>
        <v>2</v>
      </c>
      <c r="W34" s="106">
        <f t="shared" si="5"/>
        <v>0.714285714285714</v>
      </c>
      <c r="X34" s="107">
        <f t="shared" si="6"/>
        <v>0.285714285714286</v>
      </c>
      <c r="Y34" s="105">
        <f t="shared" si="18"/>
        <v>0.380952380952381</v>
      </c>
      <c r="Z34" s="106">
        <f t="shared" si="33"/>
        <v>1.64095238095238</v>
      </c>
      <c r="AA34" s="106">
        <f t="shared" si="19"/>
        <v>0.906693843797034</v>
      </c>
      <c r="AB34" s="106">
        <v>0</v>
      </c>
      <c r="AC34" s="106">
        <f t="shared" si="20"/>
        <v>0.00822093726379441</v>
      </c>
      <c r="AD34" s="107">
        <f t="shared" si="21"/>
        <v>0.00822093726379441</v>
      </c>
      <c r="AE34" s="105">
        <f t="shared" si="22"/>
        <v>0.231428571428571</v>
      </c>
      <c r="AF34" s="106">
        <f t="shared" si="23"/>
        <v>0.906693843797034</v>
      </c>
      <c r="AG34" s="106">
        <f t="shared" si="10"/>
        <v>0.0616570294784581</v>
      </c>
      <c r="AH34" s="106">
        <f t="shared" si="11"/>
        <v>0.134340274848046</v>
      </c>
      <c r="AI34" s="107">
        <f t="shared" si="24"/>
        <v>0.195997304326504</v>
      </c>
      <c r="AJ34" s="105">
        <f t="shared" si="25"/>
        <v>0.36</v>
      </c>
      <c r="AK34" s="106">
        <f t="shared" si="26"/>
        <v>0.777537303747776</v>
      </c>
      <c r="AL34" s="106">
        <f t="shared" si="27"/>
        <v>0.2232</v>
      </c>
      <c r="AM34" s="106">
        <f t="shared" si="14"/>
        <v>0</v>
      </c>
      <c r="AN34" s="107">
        <f t="shared" si="28"/>
        <v>0.2232</v>
      </c>
      <c r="AO34" s="105">
        <f t="shared" si="15"/>
        <v>0.041104686318972</v>
      </c>
      <c r="AP34" s="106">
        <f t="shared" si="16"/>
        <v>0.108</v>
      </c>
      <c r="AQ34" s="107">
        <f t="shared" si="29"/>
        <v>0.0132</v>
      </c>
      <c r="AR34" s="105">
        <f t="shared" si="30"/>
        <v>0.581501990645476</v>
      </c>
      <c r="AS34" s="106">
        <f t="shared" si="31"/>
        <v>3.6</v>
      </c>
      <c r="AT34" s="107">
        <f t="shared" si="32"/>
        <v>86.0934661290042</v>
      </c>
    </row>
    <row r="35" spans="17:46">
      <c r="Q35">
        <v>28</v>
      </c>
      <c r="R35" s="105">
        <f t="shared" si="0"/>
        <v>10</v>
      </c>
      <c r="S35" s="106">
        <f t="shared" si="1"/>
        <v>0.373333333333333</v>
      </c>
      <c r="T35" s="106">
        <f t="shared" si="2"/>
        <v>4</v>
      </c>
      <c r="U35" s="107">
        <f t="shared" si="3"/>
        <v>0.933333333333333</v>
      </c>
      <c r="V35" s="105">
        <f t="shared" si="4"/>
        <v>2</v>
      </c>
      <c r="W35" s="106">
        <f t="shared" si="5"/>
        <v>0.714285714285714</v>
      </c>
      <c r="X35" s="107">
        <f t="shared" si="6"/>
        <v>0.285714285714286</v>
      </c>
      <c r="Y35" s="105">
        <f t="shared" si="18"/>
        <v>0.380952380952381</v>
      </c>
      <c r="Z35" s="106">
        <f t="shared" si="33"/>
        <v>1.68761904761905</v>
      </c>
      <c r="AA35" s="106">
        <f t="shared" si="19"/>
        <v>0.939789783670025</v>
      </c>
      <c r="AB35" s="106">
        <v>0</v>
      </c>
      <c r="AC35" s="106">
        <f t="shared" si="20"/>
        <v>0.00883204837490552</v>
      </c>
      <c r="AD35" s="107">
        <f t="shared" si="21"/>
        <v>0.00883204837490552</v>
      </c>
      <c r="AE35" s="105">
        <f t="shared" si="22"/>
        <v>0.248888888888889</v>
      </c>
      <c r="AF35" s="106">
        <f t="shared" si="23"/>
        <v>0.939789783670025</v>
      </c>
      <c r="AG35" s="106">
        <f t="shared" si="10"/>
        <v>0.0662403628117914</v>
      </c>
      <c r="AH35" s="106">
        <f t="shared" si="11"/>
        <v>0.139315840583158</v>
      </c>
      <c r="AI35" s="107">
        <f t="shared" si="24"/>
        <v>0.20555620339495</v>
      </c>
      <c r="AJ35" s="105">
        <f t="shared" si="25"/>
        <v>0.373333333333333</v>
      </c>
      <c r="AK35" s="106">
        <f t="shared" si="26"/>
        <v>0.802412516116834</v>
      </c>
      <c r="AL35" s="106">
        <f t="shared" si="27"/>
        <v>0.231466666666667</v>
      </c>
      <c r="AM35" s="106">
        <f t="shared" si="14"/>
        <v>0</v>
      </c>
      <c r="AN35" s="107">
        <f t="shared" si="28"/>
        <v>0.231466666666667</v>
      </c>
      <c r="AO35" s="105">
        <f t="shared" si="15"/>
        <v>0.0441602418745276</v>
      </c>
      <c r="AP35" s="106">
        <f t="shared" si="16"/>
        <v>0.108</v>
      </c>
      <c r="AQ35" s="107">
        <f t="shared" si="29"/>
        <v>0.0132</v>
      </c>
      <c r="AR35" s="105">
        <f t="shared" si="30"/>
        <v>0.602383111936144</v>
      </c>
      <c r="AS35" s="106">
        <f t="shared" si="31"/>
        <v>3.73333333333333</v>
      </c>
      <c r="AT35" s="107">
        <f t="shared" si="32"/>
        <v>86.1064919825793</v>
      </c>
    </row>
    <row r="36" spans="17:46">
      <c r="Q36">
        <v>29</v>
      </c>
      <c r="R36" s="105">
        <f t="shared" si="0"/>
        <v>10</v>
      </c>
      <c r="S36" s="106">
        <f t="shared" si="1"/>
        <v>0.386666666666667</v>
      </c>
      <c r="T36" s="106">
        <f t="shared" si="2"/>
        <v>4</v>
      </c>
      <c r="U36" s="107">
        <f t="shared" si="3"/>
        <v>0.966666666666667</v>
      </c>
      <c r="V36" s="105">
        <f t="shared" si="4"/>
        <v>2</v>
      </c>
      <c r="W36" s="106">
        <f t="shared" si="5"/>
        <v>0.714285714285714</v>
      </c>
      <c r="X36" s="107">
        <f t="shared" si="6"/>
        <v>0.285714285714286</v>
      </c>
      <c r="Y36" s="105">
        <f t="shared" si="18"/>
        <v>0.380952380952381</v>
      </c>
      <c r="Z36" s="106">
        <f t="shared" si="33"/>
        <v>1.73428571428571</v>
      </c>
      <c r="AA36" s="106">
        <f t="shared" si="19"/>
        <v>0.972901932788647</v>
      </c>
      <c r="AB36" s="106">
        <v>0</v>
      </c>
      <c r="AC36" s="106">
        <f t="shared" si="20"/>
        <v>0.00946538170823885</v>
      </c>
      <c r="AD36" s="107">
        <f t="shared" si="21"/>
        <v>0.00946538170823885</v>
      </c>
      <c r="AE36" s="105">
        <f t="shared" si="22"/>
        <v>0.266984126984127</v>
      </c>
      <c r="AF36" s="106">
        <f t="shared" si="23"/>
        <v>0.972901932788647</v>
      </c>
      <c r="AG36" s="106">
        <f t="shared" si="10"/>
        <v>0.0709903628117914</v>
      </c>
      <c r="AH36" s="106">
        <f t="shared" si="11"/>
        <v>0.144291406318271</v>
      </c>
      <c r="AI36" s="107">
        <f t="shared" si="24"/>
        <v>0.215281769130063</v>
      </c>
      <c r="AJ36" s="105">
        <f t="shared" si="25"/>
        <v>0.386666666666667</v>
      </c>
      <c r="AK36" s="106">
        <f t="shared" si="26"/>
        <v>0.827291893932837</v>
      </c>
      <c r="AL36" s="106">
        <f t="shared" si="27"/>
        <v>0.239733333333333</v>
      </c>
      <c r="AM36" s="106">
        <f t="shared" si="14"/>
        <v>0</v>
      </c>
      <c r="AN36" s="107">
        <f t="shared" si="28"/>
        <v>0.239733333333333</v>
      </c>
      <c r="AO36" s="105">
        <f t="shared" si="15"/>
        <v>0.0473269085411943</v>
      </c>
      <c r="AP36" s="106">
        <f t="shared" si="16"/>
        <v>0.108</v>
      </c>
      <c r="AQ36" s="107">
        <f t="shared" si="29"/>
        <v>0.0132</v>
      </c>
      <c r="AR36" s="105">
        <f t="shared" si="30"/>
        <v>0.62354201100459</v>
      </c>
      <c r="AS36" s="106">
        <f t="shared" si="31"/>
        <v>3.86666666666667</v>
      </c>
      <c r="AT36" s="107">
        <f t="shared" si="32"/>
        <v>86.1132954887973</v>
      </c>
    </row>
    <row r="37" spans="17:46">
      <c r="Q37">
        <v>30</v>
      </c>
      <c r="R37" s="105">
        <f t="shared" si="0"/>
        <v>10</v>
      </c>
      <c r="S37" s="106">
        <f t="shared" si="1"/>
        <v>0.4</v>
      </c>
      <c r="T37" s="106">
        <f t="shared" si="2"/>
        <v>4</v>
      </c>
      <c r="U37" s="107">
        <f t="shared" si="3"/>
        <v>1</v>
      </c>
      <c r="V37" s="105">
        <f t="shared" si="4"/>
        <v>2</v>
      </c>
      <c r="W37" s="106">
        <f t="shared" si="5"/>
        <v>0.714285714285714</v>
      </c>
      <c r="X37" s="107">
        <f t="shared" si="6"/>
        <v>0.285714285714286</v>
      </c>
      <c r="Y37" s="105">
        <f t="shared" si="18"/>
        <v>0.380952380952381</v>
      </c>
      <c r="Z37" s="106">
        <f t="shared" si="33"/>
        <v>1.78095238095238</v>
      </c>
      <c r="AA37" s="106">
        <f t="shared" si="19"/>
        <v>1.00602869063434</v>
      </c>
      <c r="AB37" s="106">
        <v>0</v>
      </c>
      <c r="AC37" s="106">
        <f t="shared" si="20"/>
        <v>0.0101209372637944</v>
      </c>
      <c r="AD37" s="107">
        <f t="shared" si="21"/>
        <v>0.0101209372637944</v>
      </c>
      <c r="AE37" s="105">
        <f t="shared" si="22"/>
        <v>0.285714285714286</v>
      </c>
      <c r="AF37" s="106">
        <f t="shared" si="23"/>
        <v>1.00602869063434</v>
      </c>
      <c r="AG37" s="106">
        <f t="shared" si="10"/>
        <v>0.0759070294784581</v>
      </c>
      <c r="AH37" s="106">
        <f t="shared" si="11"/>
        <v>0.149266972053384</v>
      </c>
      <c r="AI37" s="107">
        <f t="shared" si="24"/>
        <v>0.225174001531842</v>
      </c>
      <c r="AJ37" s="105">
        <f t="shared" si="25"/>
        <v>0.4</v>
      </c>
      <c r="AK37" s="106">
        <f t="shared" si="26"/>
        <v>0.852175072363335</v>
      </c>
      <c r="AL37" s="106">
        <f t="shared" si="27"/>
        <v>0.248</v>
      </c>
      <c r="AM37" s="106">
        <f t="shared" si="14"/>
        <v>0</v>
      </c>
      <c r="AN37" s="107">
        <f t="shared" si="28"/>
        <v>0.248</v>
      </c>
      <c r="AO37" s="105">
        <f t="shared" si="15"/>
        <v>0.050604686318972</v>
      </c>
      <c r="AP37" s="106">
        <f t="shared" si="16"/>
        <v>0.108</v>
      </c>
      <c r="AQ37" s="107">
        <f t="shared" si="29"/>
        <v>0.0132</v>
      </c>
      <c r="AR37" s="105">
        <f t="shared" si="30"/>
        <v>0.644978687850814</v>
      </c>
      <c r="AS37" s="106">
        <f t="shared" si="31"/>
        <v>4</v>
      </c>
      <c r="AT37" s="107">
        <f t="shared" si="32"/>
        <v>86.1144962938627</v>
      </c>
    </row>
    <row r="38" spans="17:46">
      <c r="Q38">
        <v>31</v>
      </c>
      <c r="R38" s="105">
        <f t="shared" si="0"/>
        <v>10</v>
      </c>
      <c r="S38" s="106">
        <f t="shared" si="1"/>
        <v>0.413333333333333</v>
      </c>
      <c r="T38" s="106">
        <f t="shared" si="2"/>
        <v>4</v>
      </c>
      <c r="U38" s="107">
        <f t="shared" si="3"/>
        <v>1.03333333333333</v>
      </c>
      <c r="V38" s="105">
        <f t="shared" si="4"/>
        <v>2</v>
      </c>
      <c r="W38" s="106">
        <f t="shared" si="5"/>
        <v>0.714285714285714</v>
      </c>
      <c r="X38" s="107">
        <f t="shared" si="6"/>
        <v>0.285714285714286</v>
      </c>
      <c r="Y38" s="105">
        <f t="shared" si="18"/>
        <v>0.380952380952381</v>
      </c>
      <c r="Z38" s="106">
        <f t="shared" si="33"/>
        <v>1.82761904761905</v>
      </c>
      <c r="AA38" s="106">
        <f t="shared" si="19"/>
        <v>1.03916866011116</v>
      </c>
      <c r="AB38" s="106">
        <v>0</v>
      </c>
      <c r="AC38" s="106">
        <f t="shared" si="20"/>
        <v>0.0107987150415722</v>
      </c>
      <c r="AD38" s="107">
        <f t="shared" si="21"/>
        <v>0.0107987150415722</v>
      </c>
      <c r="AE38" s="105">
        <f t="shared" si="22"/>
        <v>0.305079365079365</v>
      </c>
      <c r="AF38" s="106">
        <f t="shared" si="23"/>
        <v>1.03916866011116</v>
      </c>
      <c r="AG38" s="106">
        <f t="shared" si="10"/>
        <v>0.0809903628117914</v>
      </c>
      <c r="AH38" s="106">
        <f t="shared" si="11"/>
        <v>0.154242537788497</v>
      </c>
      <c r="AI38" s="107">
        <f t="shared" si="24"/>
        <v>0.235232900600288</v>
      </c>
      <c r="AJ38" s="105">
        <f t="shared" si="25"/>
        <v>0.413333333333333</v>
      </c>
      <c r="AK38" s="106">
        <f t="shared" si="26"/>
        <v>0.877061727925906</v>
      </c>
      <c r="AL38" s="106">
        <f t="shared" si="27"/>
        <v>0.256266666666667</v>
      </c>
      <c r="AM38" s="106">
        <f t="shared" si="14"/>
        <v>0</v>
      </c>
      <c r="AN38" s="107">
        <f t="shared" si="28"/>
        <v>0.256266666666667</v>
      </c>
      <c r="AO38" s="105">
        <f t="shared" si="15"/>
        <v>0.0539935752078609</v>
      </c>
      <c r="AP38" s="106">
        <f t="shared" si="16"/>
        <v>0.108</v>
      </c>
      <c r="AQ38" s="107">
        <f t="shared" si="29"/>
        <v>0.0132</v>
      </c>
      <c r="AR38" s="105">
        <f t="shared" si="30"/>
        <v>0.666693142474816</v>
      </c>
      <c r="AS38" s="106">
        <f t="shared" si="31"/>
        <v>4.13333333333333</v>
      </c>
      <c r="AT38" s="107">
        <f t="shared" si="32"/>
        <v>86.1106361426357</v>
      </c>
    </row>
    <row r="39" spans="17:46">
      <c r="Q39">
        <v>32</v>
      </c>
      <c r="R39" s="105">
        <f t="shared" si="0"/>
        <v>10</v>
      </c>
      <c r="S39" s="106">
        <f t="shared" ref="S39:S70" si="34">Q39*$O$12</f>
        <v>0.426666666666667</v>
      </c>
      <c r="T39" s="106">
        <f t="shared" si="2"/>
        <v>4</v>
      </c>
      <c r="U39" s="107">
        <f t="shared" ref="U39:U70" si="35">(R39*S39)/(T39*EFF_est)</f>
        <v>1.06666666666667</v>
      </c>
      <c r="V39" s="105">
        <f t="shared" ref="V39:V70" si="36">IF(S39&lt;((T39^2)*R39)/(2*Fsw*Lm*((T39+R39)^2)),1,2)</f>
        <v>2</v>
      </c>
      <c r="W39" s="106">
        <f t="shared" ref="W39:W70" si="37">CHOOSE(V39,SQRT(2*Lm*R39*S39*Fsw)/T39,R39/(T39+R39))</f>
        <v>0.714285714285714</v>
      </c>
      <c r="X39" s="107">
        <f t="shared" ref="X39:X70" si="38">CHOOSE(V39,(Lm*Z39*Fsw)/(R39),1-W39)</f>
        <v>0.285714285714286</v>
      </c>
      <c r="Y39" s="105">
        <f t="shared" si="18"/>
        <v>0.380952380952381</v>
      </c>
      <c r="Z39" s="106">
        <f t="shared" si="33"/>
        <v>1.87428571428571</v>
      </c>
      <c r="AA39" s="106">
        <f t="shared" si="19"/>
        <v>1.07232061630709</v>
      </c>
      <c r="AB39" s="106">
        <v>0</v>
      </c>
      <c r="AC39" s="106">
        <f t="shared" si="20"/>
        <v>0.0114987150415722</v>
      </c>
      <c r="AD39" s="107">
        <f t="shared" si="21"/>
        <v>0.0114987150415722</v>
      </c>
      <c r="AE39" s="105">
        <f t="shared" si="22"/>
        <v>0.325079365079365</v>
      </c>
      <c r="AF39" s="106">
        <f t="shared" si="23"/>
        <v>1.07232061630709</v>
      </c>
      <c r="AG39" s="106">
        <f t="shared" ref="AG39:AG70" si="39">(AF39^2)*RDS_on</f>
        <v>0.0862403628117914</v>
      </c>
      <c r="AH39" s="106">
        <f t="shared" ref="AH39:AH70" si="40">(((R39+T39)*(U39+S39))/2)*Fsw*(tr_sw+tf_sw)</f>
        <v>0.15921810352361</v>
      </c>
      <c r="AI39" s="107">
        <f t="shared" si="24"/>
        <v>0.245458466335401</v>
      </c>
      <c r="AJ39" s="105">
        <f t="shared" si="25"/>
        <v>0.426666666666667</v>
      </c>
      <c r="AK39" s="106">
        <f t="shared" si="26"/>
        <v>0.901951572797421</v>
      </c>
      <c r="AL39" s="106">
        <f t="shared" si="27"/>
        <v>0.264533333333333</v>
      </c>
      <c r="AM39" s="106">
        <f t="shared" ref="AM39:AM70" si="41">(R39+T39+Vd_rect)*Qrr*Fsw</f>
        <v>0</v>
      </c>
      <c r="AN39" s="107">
        <f t="shared" si="28"/>
        <v>0.264533333333333</v>
      </c>
      <c r="AO39" s="105">
        <f t="shared" ref="AO39:AO70" si="42">(AF39^2)*R_cs</f>
        <v>0.0574935752078609</v>
      </c>
      <c r="AP39" s="106">
        <f t="shared" si="16"/>
        <v>0.108</v>
      </c>
      <c r="AQ39" s="107">
        <f t="shared" si="29"/>
        <v>0.0132</v>
      </c>
      <c r="AR39" s="105">
        <f t="shared" si="30"/>
        <v>0.688685374876595</v>
      </c>
      <c r="AS39" s="106">
        <f t="shared" si="31"/>
        <v>4.26666666666667</v>
      </c>
      <c r="AT39" s="107">
        <f t="shared" si="32"/>
        <v>86.1021907403754</v>
      </c>
    </row>
    <row r="40" spans="17:46">
      <c r="Q40">
        <v>33</v>
      </c>
      <c r="R40" s="105">
        <f t="shared" si="0"/>
        <v>10</v>
      </c>
      <c r="S40" s="106">
        <f t="shared" si="34"/>
        <v>0.44</v>
      </c>
      <c r="T40" s="106">
        <f t="shared" si="2"/>
        <v>4</v>
      </c>
      <c r="U40" s="107">
        <f t="shared" si="35"/>
        <v>1.1</v>
      </c>
      <c r="V40" s="105">
        <f t="shared" si="36"/>
        <v>2</v>
      </c>
      <c r="W40" s="106">
        <f t="shared" si="37"/>
        <v>0.714285714285714</v>
      </c>
      <c r="X40" s="107">
        <f t="shared" si="38"/>
        <v>0.285714285714286</v>
      </c>
      <c r="Y40" s="105">
        <f t="shared" si="18"/>
        <v>0.380952380952381</v>
      </c>
      <c r="Z40" s="106">
        <f t="shared" si="33"/>
        <v>1.92095238095238</v>
      </c>
      <c r="AA40" s="106">
        <f t="shared" si="19"/>
        <v>1.10548348082612</v>
      </c>
      <c r="AB40" s="106">
        <v>0</v>
      </c>
      <c r="AC40" s="106">
        <f t="shared" si="20"/>
        <v>0.0122209372637944</v>
      </c>
      <c r="AD40" s="107">
        <f t="shared" si="21"/>
        <v>0.0122209372637944</v>
      </c>
      <c r="AE40" s="105">
        <f t="shared" si="22"/>
        <v>0.345714285714286</v>
      </c>
      <c r="AF40" s="106">
        <f t="shared" si="23"/>
        <v>1.10548348082612</v>
      </c>
      <c r="AG40" s="106">
        <f t="shared" si="39"/>
        <v>0.0916570294784581</v>
      </c>
      <c r="AH40" s="106">
        <f t="shared" si="40"/>
        <v>0.164193669258723</v>
      </c>
      <c r="AI40" s="107">
        <f t="shared" si="24"/>
        <v>0.255850698737181</v>
      </c>
      <c r="AJ40" s="105">
        <f t="shared" si="25"/>
        <v>0.44</v>
      </c>
      <c r="AK40" s="106">
        <f t="shared" si="26"/>
        <v>0.926844350037023</v>
      </c>
      <c r="AL40" s="106">
        <f t="shared" si="27"/>
        <v>0.2728</v>
      </c>
      <c r="AM40" s="106">
        <f t="shared" si="41"/>
        <v>0</v>
      </c>
      <c r="AN40" s="107">
        <f t="shared" si="28"/>
        <v>0.2728</v>
      </c>
      <c r="AO40" s="105">
        <f t="shared" si="42"/>
        <v>0.061104686318972</v>
      </c>
      <c r="AP40" s="106">
        <f t="shared" si="16"/>
        <v>0.108</v>
      </c>
      <c r="AQ40" s="107">
        <f t="shared" si="29"/>
        <v>0.0132</v>
      </c>
      <c r="AR40" s="105">
        <f t="shared" si="30"/>
        <v>0.710955385056153</v>
      </c>
      <c r="AS40" s="106">
        <f t="shared" si="31"/>
        <v>4.4</v>
      </c>
      <c r="AT40" s="107">
        <f t="shared" si="32"/>
        <v>86.0895795112025</v>
      </c>
    </row>
    <row r="41" spans="17:46">
      <c r="Q41">
        <v>34</v>
      </c>
      <c r="R41" s="105">
        <f t="shared" si="0"/>
        <v>10</v>
      </c>
      <c r="S41" s="106">
        <f t="shared" si="34"/>
        <v>0.453333333333333</v>
      </c>
      <c r="T41" s="106">
        <f t="shared" si="2"/>
        <v>4</v>
      </c>
      <c r="U41" s="107">
        <f t="shared" si="35"/>
        <v>1.13333333333333</v>
      </c>
      <c r="V41" s="105">
        <f t="shared" si="36"/>
        <v>2</v>
      </c>
      <c r="W41" s="106">
        <f t="shared" si="37"/>
        <v>0.714285714285714</v>
      </c>
      <c r="X41" s="107">
        <f t="shared" si="38"/>
        <v>0.285714285714286</v>
      </c>
      <c r="Y41" s="105">
        <f t="shared" si="18"/>
        <v>0.380952380952381</v>
      </c>
      <c r="Z41" s="106">
        <f t="shared" si="33"/>
        <v>1.96761904761905</v>
      </c>
      <c r="AA41" s="106">
        <f t="shared" si="19"/>
        <v>1.1386563005683</v>
      </c>
      <c r="AB41" s="106">
        <v>0</v>
      </c>
      <c r="AC41" s="106">
        <f t="shared" si="20"/>
        <v>0.0129653817082389</v>
      </c>
      <c r="AD41" s="107">
        <f t="shared" si="21"/>
        <v>0.0129653817082389</v>
      </c>
      <c r="AE41" s="105">
        <f t="shared" si="22"/>
        <v>0.366984126984127</v>
      </c>
      <c r="AF41" s="106">
        <f t="shared" si="23"/>
        <v>1.1386563005683</v>
      </c>
      <c r="AG41" s="106">
        <f t="shared" si="39"/>
        <v>0.0972403628117914</v>
      </c>
      <c r="AH41" s="106">
        <f t="shared" si="40"/>
        <v>0.169169234993835</v>
      </c>
      <c r="AI41" s="107">
        <f t="shared" si="24"/>
        <v>0.266409597805627</v>
      </c>
      <c r="AJ41" s="105">
        <f t="shared" si="25"/>
        <v>0.453333333333333</v>
      </c>
      <c r="AK41" s="106">
        <f t="shared" si="26"/>
        <v>0.951739829556274</v>
      </c>
      <c r="AL41" s="106">
        <f t="shared" si="27"/>
        <v>0.281066666666667</v>
      </c>
      <c r="AM41" s="106">
        <f t="shared" si="41"/>
        <v>0</v>
      </c>
      <c r="AN41" s="107">
        <f t="shared" si="28"/>
        <v>0.281066666666667</v>
      </c>
      <c r="AO41" s="105">
        <f t="shared" si="42"/>
        <v>0.0648269085411943</v>
      </c>
      <c r="AP41" s="106">
        <f t="shared" si="16"/>
        <v>0.108</v>
      </c>
      <c r="AQ41" s="107">
        <f t="shared" si="29"/>
        <v>0.0132</v>
      </c>
      <c r="AR41" s="105">
        <f t="shared" si="30"/>
        <v>0.733503173013488</v>
      </c>
      <c r="AS41" s="106">
        <f t="shared" si="31"/>
        <v>4.53333333333333</v>
      </c>
      <c r="AT41" s="107">
        <f t="shared" si="32"/>
        <v>86.0731736758949</v>
      </c>
    </row>
    <row r="42" spans="17:46">
      <c r="Q42">
        <v>35</v>
      </c>
      <c r="R42" s="105">
        <f t="shared" si="0"/>
        <v>10</v>
      </c>
      <c r="S42" s="106">
        <f t="shared" si="34"/>
        <v>0.466666666666667</v>
      </c>
      <c r="T42" s="106">
        <f t="shared" si="2"/>
        <v>4</v>
      </c>
      <c r="U42" s="107">
        <f t="shared" si="35"/>
        <v>1.16666666666667</v>
      </c>
      <c r="V42" s="105">
        <f t="shared" si="36"/>
        <v>2</v>
      </c>
      <c r="W42" s="106">
        <f t="shared" si="37"/>
        <v>0.714285714285714</v>
      </c>
      <c r="X42" s="107">
        <f t="shared" si="38"/>
        <v>0.285714285714286</v>
      </c>
      <c r="Y42" s="105">
        <f t="shared" si="18"/>
        <v>0.380952380952381</v>
      </c>
      <c r="Z42" s="106">
        <f t="shared" si="33"/>
        <v>2.01428571428571</v>
      </c>
      <c r="AA42" s="106">
        <f t="shared" si="19"/>
        <v>1.17183823008577</v>
      </c>
      <c r="AB42" s="106">
        <v>0</v>
      </c>
      <c r="AC42" s="106">
        <f t="shared" si="20"/>
        <v>0.0137320483749055</v>
      </c>
      <c r="AD42" s="107">
        <f t="shared" si="21"/>
        <v>0.0137320483749055</v>
      </c>
      <c r="AE42" s="105">
        <f t="shared" si="22"/>
        <v>0.388888888888889</v>
      </c>
      <c r="AF42" s="106">
        <f t="shared" si="23"/>
        <v>1.17183823008577</v>
      </c>
      <c r="AG42" s="106">
        <f t="shared" si="39"/>
        <v>0.102990362811791</v>
      </c>
      <c r="AH42" s="106">
        <f t="shared" si="40"/>
        <v>0.174144800728948</v>
      </c>
      <c r="AI42" s="107">
        <f t="shared" si="24"/>
        <v>0.27713516354074</v>
      </c>
      <c r="AJ42" s="105">
        <f t="shared" si="25"/>
        <v>0.466666666666667</v>
      </c>
      <c r="AK42" s="106">
        <f t="shared" si="26"/>
        <v>0.976637804703721</v>
      </c>
      <c r="AL42" s="106">
        <f t="shared" si="27"/>
        <v>0.289333333333333</v>
      </c>
      <c r="AM42" s="106">
        <f t="shared" si="41"/>
        <v>0</v>
      </c>
      <c r="AN42" s="107">
        <f t="shared" si="28"/>
        <v>0.289333333333333</v>
      </c>
      <c r="AO42" s="105">
        <f t="shared" si="42"/>
        <v>0.0686602418745276</v>
      </c>
      <c r="AP42" s="106">
        <f t="shared" si="16"/>
        <v>0.108</v>
      </c>
      <c r="AQ42" s="107">
        <f t="shared" si="29"/>
        <v>0.0132</v>
      </c>
      <c r="AR42" s="105">
        <f t="shared" si="30"/>
        <v>0.7563287387486</v>
      </c>
      <c r="AS42" s="106">
        <f t="shared" si="31"/>
        <v>4.66666666666667</v>
      </c>
      <c r="AT42" s="107">
        <f t="shared" si="32"/>
        <v>86.0533029772928</v>
      </c>
    </row>
    <row r="43" spans="17:46">
      <c r="Q43">
        <v>36</v>
      </c>
      <c r="R43" s="105">
        <f t="shared" si="0"/>
        <v>10</v>
      </c>
      <c r="S43" s="106">
        <f t="shared" si="34"/>
        <v>0.48</v>
      </c>
      <c r="T43" s="106">
        <f t="shared" si="2"/>
        <v>4</v>
      </c>
      <c r="U43" s="107">
        <f t="shared" si="35"/>
        <v>1.2</v>
      </c>
      <c r="V43" s="105">
        <f t="shared" si="36"/>
        <v>2</v>
      </c>
      <c r="W43" s="106">
        <f t="shared" si="37"/>
        <v>0.714285714285714</v>
      </c>
      <c r="X43" s="107">
        <f t="shared" si="38"/>
        <v>0.285714285714286</v>
      </c>
      <c r="Y43" s="105">
        <f t="shared" si="18"/>
        <v>0.380952380952381</v>
      </c>
      <c r="Z43" s="106">
        <f t="shared" si="33"/>
        <v>2.06095238095238</v>
      </c>
      <c r="AA43" s="106">
        <f t="shared" si="19"/>
        <v>1.20502851683246</v>
      </c>
      <c r="AB43" s="106">
        <v>0</v>
      </c>
      <c r="AC43" s="106">
        <f t="shared" si="20"/>
        <v>0.0145209372637944</v>
      </c>
      <c r="AD43" s="107">
        <f t="shared" si="21"/>
        <v>0.0145209372637944</v>
      </c>
      <c r="AE43" s="105">
        <f t="shared" si="22"/>
        <v>0.411428571428572</v>
      </c>
      <c r="AF43" s="106">
        <f t="shared" si="23"/>
        <v>1.20502851683246</v>
      </c>
      <c r="AG43" s="106">
        <f t="shared" si="39"/>
        <v>0.108907029478458</v>
      </c>
      <c r="AH43" s="106">
        <f t="shared" si="40"/>
        <v>0.179120366464061</v>
      </c>
      <c r="AI43" s="107">
        <f t="shared" si="24"/>
        <v>0.288027395942519</v>
      </c>
      <c r="AJ43" s="105">
        <f t="shared" si="25"/>
        <v>0.48</v>
      </c>
      <c r="AK43" s="106">
        <f t="shared" si="26"/>
        <v>1.00153808935739</v>
      </c>
      <c r="AL43" s="106">
        <f t="shared" si="27"/>
        <v>0.2976</v>
      </c>
      <c r="AM43" s="106">
        <f t="shared" si="41"/>
        <v>0</v>
      </c>
      <c r="AN43" s="107">
        <f t="shared" si="28"/>
        <v>0.2976</v>
      </c>
      <c r="AO43" s="105">
        <f t="shared" si="42"/>
        <v>0.0726046863189721</v>
      </c>
      <c r="AP43" s="106">
        <f t="shared" si="16"/>
        <v>0.108</v>
      </c>
      <c r="AQ43" s="107">
        <f t="shared" si="29"/>
        <v>0.0132</v>
      </c>
      <c r="AR43" s="105">
        <f t="shared" si="30"/>
        <v>0.779432082261491</v>
      </c>
      <c r="AS43" s="106">
        <f t="shared" si="31"/>
        <v>4.8</v>
      </c>
      <c r="AT43" s="107">
        <f t="shared" si="32"/>
        <v>86.0302613102951</v>
      </c>
    </row>
    <row r="44" spans="17:46">
      <c r="Q44">
        <v>37</v>
      </c>
      <c r="R44" s="105">
        <f t="shared" si="0"/>
        <v>10</v>
      </c>
      <c r="S44" s="106">
        <f t="shared" si="34"/>
        <v>0.493333333333333</v>
      </c>
      <c r="T44" s="106">
        <f t="shared" si="2"/>
        <v>4</v>
      </c>
      <c r="U44" s="107">
        <f t="shared" si="35"/>
        <v>1.23333333333333</v>
      </c>
      <c r="V44" s="105">
        <f t="shared" si="36"/>
        <v>2</v>
      </c>
      <c r="W44" s="106">
        <f t="shared" si="37"/>
        <v>0.714285714285714</v>
      </c>
      <c r="X44" s="107">
        <f t="shared" si="38"/>
        <v>0.285714285714286</v>
      </c>
      <c r="Y44" s="105">
        <f t="shared" si="18"/>
        <v>0.380952380952381</v>
      </c>
      <c r="Z44" s="106">
        <f t="shared" si="33"/>
        <v>2.10761904761905</v>
      </c>
      <c r="AA44" s="106">
        <f t="shared" si="19"/>
        <v>1.23822648876954</v>
      </c>
      <c r="AB44" s="106">
        <v>0</v>
      </c>
      <c r="AC44" s="106">
        <f t="shared" si="20"/>
        <v>0.0153320483749055</v>
      </c>
      <c r="AD44" s="107">
        <f t="shared" si="21"/>
        <v>0.0153320483749055</v>
      </c>
      <c r="AE44" s="105">
        <f t="shared" si="22"/>
        <v>0.434603174603175</v>
      </c>
      <c r="AF44" s="106">
        <f t="shared" si="23"/>
        <v>1.23822648876954</v>
      </c>
      <c r="AG44" s="106">
        <f t="shared" si="39"/>
        <v>0.114990362811791</v>
      </c>
      <c r="AH44" s="106">
        <f t="shared" si="40"/>
        <v>0.184095932199174</v>
      </c>
      <c r="AI44" s="107">
        <f t="shared" si="24"/>
        <v>0.299086295010965</v>
      </c>
      <c r="AJ44" s="105">
        <f t="shared" si="25"/>
        <v>0.493333333333333</v>
      </c>
      <c r="AK44" s="106">
        <f t="shared" si="26"/>
        <v>1.02644051543927</v>
      </c>
      <c r="AL44" s="106">
        <f t="shared" si="27"/>
        <v>0.305866666666667</v>
      </c>
      <c r="AM44" s="106">
        <f t="shared" si="41"/>
        <v>0</v>
      </c>
      <c r="AN44" s="107">
        <f t="shared" si="28"/>
        <v>0.305866666666667</v>
      </c>
      <c r="AO44" s="105">
        <f t="shared" si="42"/>
        <v>0.0766602418745276</v>
      </c>
      <c r="AP44" s="106">
        <f t="shared" si="16"/>
        <v>0.108</v>
      </c>
      <c r="AQ44" s="107">
        <f t="shared" si="29"/>
        <v>0.0132</v>
      </c>
      <c r="AR44" s="105">
        <f t="shared" si="30"/>
        <v>0.802813203552159</v>
      </c>
      <c r="AS44" s="106">
        <f t="shared" si="31"/>
        <v>4.93333333333333</v>
      </c>
      <c r="AT44" s="107">
        <f t="shared" si="32"/>
        <v>86.0043114590992</v>
      </c>
    </row>
    <row r="45" spans="17:46">
      <c r="Q45">
        <v>38</v>
      </c>
      <c r="R45" s="105">
        <f t="shared" si="0"/>
        <v>10</v>
      </c>
      <c r="S45" s="106">
        <f t="shared" si="34"/>
        <v>0.506666666666667</v>
      </c>
      <c r="T45" s="106">
        <f t="shared" si="2"/>
        <v>4</v>
      </c>
      <c r="U45" s="107">
        <f t="shared" si="35"/>
        <v>1.26666666666667</v>
      </c>
      <c r="V45" s="105">
        <f t="shared" si="36"/>
        <v>2</v>
      </c>
      <c r="W45" s="106">
        <f t="shared" si="37"/>
        <v>0.714285714285714</v>
      </c>
      <c r="X45" s="107">
        <f t="shared" si="38"/>
        <v>0.285714285714286</v>
      </c>
      <c r="Y45" s="105">
        <f t="shared" si="18"/>
        <v>0.380952380952381</v>
      </c>
      <c r="Z45" s="106">
        <f t="shared" si="33"/>
        <v>2.15428571428571</v>
      </c>
      <c r="AA45" s="106">
        <f t="shared" si="19"/>
        <v>1.27143154389998</v>
      </c>
      <c r="AB45" s="106">
        <v>0</v>
      </c>
      <c r="AC45" s="106">
        <f t="shared" si="20"/>
        <v>0.0161653817082389</v>
      </c>
      <c r="AD45" s="107">
        <f t="shared" si="21"/>
        <v>0.0161653817082389</v>
      </c>
      <c r="AE45" s="105">
        <f t="shared" si="22"/>
        <v>0.458412698412698</v>
      </c>
      <c r="AF45" s="106">
        <f t="shared" si="23"/>
        <v>1.27143154389998</v>
      </c>
      <c r="AG45" s="106">
        <f t="shared" si="39"/>
        <v>0.121240362811791</v>
      </c>
      <c r="AH45" s="106">
        <f t="shared" si="40"/>
        <v>0.189071497934287</v>
      </c>
      <c r="AI45" s="107">
        <f t="shared" si="24"/>
        <v>0.310311860746078</v>
      </c>
      <c r="AJ45" s="105">
        <f t="shared" si="25"/>
        <v>0.506666666666667</v>
      </c>
      <c r="AK45" s="106">
        <f t="shared" si="26"/>
        <v>1.05134493078212</v>
      </c>
      <c r="AL45" s="106">
        <f t="shared" si="27"/>
        <v>0.314133333333333</v>
      </c>
      <c r="AM45" s="106">
        <f t="shared" si="41"/>
        <v>0</v>
      </c>
      <c r="AN45" s="107">
        <f t="shared" si="28"/>
        <v>0.314133333333333</v>
      </c>
      <c r="AO45" s="105">
        <f t="shared" si="42"/>
        <v>0.0808269085411943</v>
      </c>
      <c r="AP45" s="106">
        <f t="shared" si="16"/>
        <v>0.108</v>
      </c>
      <c r="AQ45" s="107">
        <f t="shared" si="29"/>
        <v>0.0132</v>
      </c>
      <c r="AR45" s="105">
        <f t="shared" si="30"/>
        <v>0.826472102620606</v>
      </c>
      <c r="AS45" s="106">
        <f t="shared" si="31"/>
        <v>5.06666666666667</v>
      </c>
      <c r="AT45" s="107">
        <f t="shared" si="32"/>
        <v>85.9756891025907</v>
      </c>
    </row>
    <row r="46" spans="17:46">
      <c r="Q46">
        <v>39</v>
      </c>
      <c r="R46" s="105">
        <f t="shared" si="0"/>
        <v>10</v>
      </c>
      <c r="S46" s="106">
        <f t="shared" si="34"/>
        <v>0.52</v>
      </c>
      <c r="T46" s="106">
        <f t="shared" si="2"/>
        <v>4</v>
      </c>
      <c r="U46" s="107">
        <f t="shared" si="35"/>
        <v>1.3</v>
      </c>
      <c r="V46" s="105">
        <f t="shared" si="36"/>
        <v>2</v>
      </c>
      <c r="W46" s="106">
        <f t="shared" si="37"/>
        <v>0.714285714285714</v>
      </c>
      <c r="X46" s="107">
        <f t="shared" si="38"/>
        <v>0.285714285714286</v>
      </c>
      <c r="Y46" s="105">
        <f t="shared" si="18"/>
        <v>0.380952380952381</v>
      </c>
      <c r="Z46" s="106">
        <f t="shared" si="33"/>
        <v>2.20095238095238</v>
      </c>
      <c r="AA46" s="106">
        <f t="shared" si="19"/>
        <v>1.30464314139133</v>
      </c>
      <c r="AB46" s="106">
        <v>0</v>
      </c>
      <c r="AC46" s="106">
        <f t="shared" si="20"/>
        <v>0.0170209372637944</v>
      </c>
      <c r="AD46" s="107">
        <f t="shared" si="21"/>
        <v>0.0170209372637944</v>
      </c>
      <c r="AE46" s="105">
        <f t="shared" si="22"/>
        <v>0.482857142857143</v>
      </c>
      <c r="AF46" s="106">
        <f t="shared" si="23"/>
        <v>1.30464314139133</v>
      </c>
      <c r="AG46" s="106">
        <f t="shared" si="39"/>
        <v>0.127657029478458</v>
      </c>
      <c r="AH46" s="106">
        <f t="shared" si="40"/>
        <v>0.194047063669399</v>
      </c>
      <c r="AI46" s="107">
        <f t="shared" si="24"/>
        <v>0.321704093147857</v>
      </c>
      <c r="AJ46" s="105">
        <f t="shared" si="25"/>
        <v>0.52</v>
      </c>
      <c r="AK46" s="106">
        <f t="shared" si="26"/>
        <v>1.07625119729166</v>
      </c>
      <c r="AL46" s="106">
        <f t="shared" si="27"/>
        <v>0.3224</v>
      </c>
      <c r="AM46" s="106">
        <f t="shared" si="41"/>
        <v>0</v>
      </c>
      <c r="AN46" s="107">
        <f t="shared" si="28"/>
        <v>0.3224</v>
      </c>
      <c r="AO46" s="105">
        <f t="shared" si="42"/>
        <v>0.085104686318972</v>
      </c>
      <c r="AP46" s="106">
        <f t="shared" si="16"/>
        <v>0.108</v>
      </c>
      <c r="AQ46" s="107">
        <f t="shared" si="29"/>
        <v>0.0132</v>
      </c>
      <c r="AR46" s="105">
        <f t="shared" si="30"/>
        <v>0.850408779466829</v>
      </c>
      <c r="AS46" s="106">
        <f t="shared" si="31"/>
        <v>5.2</v>
      </c>
      <c r="AT46" s="107">
        <f t="shared" si="32"/>
        <v>85.9446062164783</v>
      </c>
    </row>
    <row r="47" spans="17:46">
      <c r="Q47">
        <v>40</v>
      </c>
      <c r="R47" s="105">
        <f t="shared" si="0"/>
        <v>10</v>
      </c>
      <c r="S47" s="106">
        <f t="shared" si="34"/>
        <v>0.533333333333333</v>
      </c>
      <c r="T47" s="106">
        <f t="shared" si="2"/>
        <v>4</v>
      </c>
      <c r="U47" s="107">
        <f t="shared" si="35"/>
        <v>1.33333333333333</v>
      </c>
      <c r="V47" s="105">
        <f t="shared" si="36"/>
        <v>2</v>
      </c>
      <c r="W47" s="106">
        <f t="shared" si="37"/>
        <v>0.714285714285714</v>
      </c>
      <c r="X47" s="107">
        <f t="shared" si="38"/>
        <v>0.285714285714286</v>
      </c>
      <c r="Y47" s="105">
        <f t="shared" si="18"/>
        <v>0.380952380952381</v>
      </c>
      <c r="Z47" s="106">
        <f t="shared" si="33"/>
        <v>2.24761904761905</v>
      </c>
      <c r="AA47" s="106">
        <f t="shared" si="19"/>
        <v>1.33786079401305</v>
      </c>
      <c r="AB47" s="106">
        <v>0</v>
      </c>
      <c r="AC47" s="106">
        <f t="shared" si="20"/>
        <v>0.0178987150415722</v>
      </c>
      <c r="AD47" s="107">
        <f t="shared" si="21"/>
        <v>0.0178987150415722</v>
      </c>
      <c r="AE47" s="105">
        <f t="shared" si="22"/>
        <v>0.507936507936508</v>
      </c>
      <c r="AF47" s="106">
        <f t="shared" si="23"/>
        <v>1.33786079401305</v>
      </c>
      <c r="AG47" s="106">
        <f t="shared" si="39"/>
        <v>0.134240362811791</v>
      </c>
      <c r="AH47" s="106">
        <f t="shared" si="40"/>
        <v>0.199022629404512</v>
      </c>
      <c r="AI47" s="107">
        <f t="shared" si="24"/>
        <v>0.333262992216304</v>
      </c>
      <c r="AJ47" s="105">
        <f t="shared" si="25"/>
        <v>0.533333333333333</v>
      </c>
      <c r="AK47" s="106">
        <f t="shared" si="26"/>
        <v>1.10115918935759</v>
      </c>
      <c r="AL47" s="106">
        <f t="shared" si="27"/>
        <v>0.330666666666667</v>
      </c>
      <c r="AM47" s="106">
        <f t="shared" si="41"/>
        <v>0</v>
      </c>
      <c r="AN47" s="107">
        <f t="shared" si="28"/>
        <v>0.330666666666667</v>
      </c>
      <c r="AO47" s="105">
        <f t="shared" si="42"/>
        <v>0.0894935752078609</v>
      </c>
      <c r="AP47" s="106">
        <f t="shared" si="16"/>
        <v>0.108</v>
      </c>
      <c r="AQ47" s="107">
        <f t="shared" si="29"/>
        <v>0.0132</v>
      </c>
      <c r="AR47" s="105">
        <f t="shared" si="30"/>
        <v>0.874623234090831</v>
      </c>
      <c r="AS47" s="106">
        <f t="shared" si="31"/>
        <v>5.33333333333333</v>
      </c>
      <c r="AT47" s="107">
        <f t="shared" si="32"/>
        <v>85.9112539755778</v>
      </c>
    </row>
    <row r="48" spans="17:46">
      <c r="Q48">
        <v>41</v>
      </c>
      <c r="R48" s="105">
        <f t="shared" si="0"/>
        <v>10</v>
      </c>
      <c r="S48" s="106">
        <f t="shared" si="34"/>
        <v>0.546666666666667</v>
      </c>
      <c r="T48" s="106">
        <f t="shared" si="2"/>
        <v>4</v>
      </c>
      <c r="U48" s="107">
        <f t="shared" si="35"/>
        <v>1.36666666666667</v>
      </c>
      <c r="V48" s="105">
        <f t="shared" si="36"/>
        <v>2</v>
      </c>
      <c r="W48" s="106">
        <f t="shared" si="37"/>
        <v>0.714285714285714</v>
      </c>
      <c r="X48" s="107">
        <f t="shared" si="38"/>
        <v>0.285714285714286</v>
      </c>
      <c r="Y48" s="105">
        <f t="shared" si="18"/>
        <v>0.380952380952381</v>
      </c>
      <c r="Z48" s="106">
        <f t="shared" si="33"/>
        <v>2.29428571428571</v>
      </c>
      <c r="AA48" s="106">
        <f t="shared" si="19"/>
        <v>1.37108406166698</v>
      </c>
      <c r="AB48" s="106">
        <v>0</v>
      </c>
      <c r="AC48" s="106">
        <f t="shared" si="20"/>
        <v>0.0187987150415722</v>
      </c>
      <c r="AD48" s="107">
        <f t="shared" si="21"/>
        <v>0.0187987150415722</v>
      </c>
      <c r="AE48" s="105">
        <f t="shared" si="22"/>
        <v>0.533650793650794</v>
      </c>
      <c r="AF48" s="106">
        <f t="shared" si="23"/>
        <v>1.37108406166698</v>
      </c>
      <c r="AG48" s="106">
        <f t="shared" si="39"/>
        <v>0.140990362811791</v>
      </c>
      <c r="AH48" s="106">
        <f t="shared" si="40"/>
        <v>0.203998195139625</v>
      </c>
      <c r="AI48" s="107">
        <f t="shared" si="24"/>
        <v>0.344988557951416</v>
      </c>
      <c r="AJ48" s="105">
        <f t="shared" si="25"/>
        <v>0.546666666666667</v>
      </c>
      <c r="AK48" s="106">
        <f t="shared" si="26"/>
        <v>1.12606879247497</v>
      </c>
      <c r="AL48" s="106">
        <f t="shared" si="27"/>
        <v>0.338933333333333</v>
      </c>
      <c r="AM48" s="106">
        <f t="shared" si="41"/>
        <v>0</v>
      </c>
      <c r="AN48" s="107">
        <f t="shared" si="28"/>
        <v>0.338933333333333</v>
      </c>
      <c r="AO48" s="105">
        <f t="shared" si="42"/>
        <v>0.093993575207861</v>
      </c>
      <c r="AP48" s="106">
        <f t="shared" si="16"/>
        <v>0.108</v>
      </c>
      <c r="AQ48" s="107">
        <f t="shared" si="29"/>
        <v>0.0132</v>
      </c>
      <c r="AR48" s="105">
        <f t="shared" si="30"/>
        <v>0.899115466492611</v>
      </c>
      <c r="AS48" s="106">
        <f t="shared" si="31"/>
        <v>5.46666666666667</v>
      </c>
      <c r="AT48" s="107">
        <f t="shared" si="32"/>
        <v>85.8758052398757</v>
      </c>
    </row>
    <row r="49" spans="17:46">
      <c r="Q49">
        <v>42</v>
      </c>
      <c r="R49" s="105">
        <f t="shared" si="0"/>
        <v>10</v>
      </c>
      <c r="S49" s="106">
        <f t="shared" si="34"/>
        <v>0.56</v>
      </c>
      <c r="T49" s="106">
        <f t="shared" si="2"/>
        <v>4</v>
      </c>
      <c r="U49" s="107">
        <f t="shared" si="35"/>
        <v>1.4</v>
      </c>
      <c r="V49" s="105">
        <f t="shared" si="36"/>
        <v>2</v>
      </c>
      <c r="W49" s="106">
        <f t="shared" si="37"/>
        <v>0.714285714285714</v>
      </c>
      <c r="X49" s="107">
        <f t="shared" si="38"/>
        <v>0.285714285714286</v>
      </c>
      <c r="Y49" s="105">
        <f t="shared" si="18"/>
        <v>0.380952380952381</v>
      </c>
      <c r="Z49" s="106">
        <f t="shared" si="33"/>
        <v>2.34095238095238</v>
      </c>
      <c r="AA49" s="106">
        <f t="shared" si="19"/>
        <v>1.40431254583139</v>
      </c>
      <c r="AB49" s="106">
        <v>0</v>
      </c>
      <c r="AC49" s="106">
        <f t="shared" si="20"/>
        <v>0.0197209372637944</v>
      </c>
      <c r="AD49" s="107">
        <f t="shared" si="21"/>
        <v>0.0197209372637944</v>
      </c>
      <c r="AE49" s="105">
        <f t="shared" si="22"/>
        <v>0.56</v>
      </c>
      <c r="AF49" s="106">
        <f t="shared" si="23"/>
        <v>1.40431254583139</v>
      </c>
      <c r="AG49" s="106">
        <f t="shared" si="39"/>
        <v>0.147907029478458</v>
      </c>
      <c r="AH49" s="106">
        <f t="shared" si="40"/>
        <v>0.208973760874738</v>
      </c>
      <c r="AI49" s="107">
        <f t="shared" si="24"/>
        <v>0.356880790353196</v>
      </c>
      <c r="AJ49" s="105">
        <f t="shared" si="25"/>
        <v>0.56</v>
      </c>
      <c r="AK49" s="106">
        <f t="shared" si="26"/>
        <v>1.15097990204427</v>
      </c>
      <c r="AL49" s="106">
        <f t="shared" si="27"/>
        <v>0.3472</v>
      </c>
      <c r="AM49" s="106">
        <f t="shared" si="41"/>
        <v>0</v>
      </c>
      <c r="AN49" s="107">
        <f t="shared" si="28"/>
        <v>0.3472</v>
      </c>
      <c r="AO49" s="105">
        <f t="shared" si="42"/>
        <v>0.0986046863189721</v>
      </c>
      <c r="AP49" s="106">
        <f t="shared" si="16"/>
        <v>0.108</v>
      </c>
      <c r="AQ49" s="107">
        <f t="shared" si="29"/>
        <v>0.0132</v>
      </c>
      <c r="AR49" s="105">
        <f t="shared" si="30"/>
        <v>0.923885476672168</v>
      </c>
      <c r="AS49" s="106">
        <f t="shared" si="31"/>
        <v>5.6</v>
      </c>
      <c r="AT49" s="107">
        <f t="shared" si="32"/>
        <v>85.8384166923874</v>
      </c>
    </row>
    <row r="50" spans="17:46">
      <c r="Q50">
        <v>43</v>
      </c>
      <c r="R50" s="105">
        <f t="shared" si="0"/>
        <v>10</v>
      </c>
      <c r="S50" s="106">
        <f t="shared" si="34"/>
        <v>0.573333333333333</v>
      </c>
      <c r="T50" s="106">
        <f t="shared" si="2"/>
        <v>4</v>
      </c>
      <c r="U50" s="107">
        <f t="shared" si="35"/>
        <v>1.43333333333333</v>
      </c>
      <c r="V50" s="105">
        <f t="shared" si="36"/>
        <v>2</v>
      </c>
      <c r="W50" s="106">
        <f t="shared" si="37"/>
        <v>0.714285714285714</v>
      </c>
      <c r="X50" s="107">
        <f t="shared" si="38"/>
        <v>0.285714285714286</v>
      </c>
      <c r="Y50" s="105">
        <f t="shared" si="18"/>
        <v>0.380952380952381</v>
      </c>
      <c r="Z50" s="106">
        <f t="shared" si="33"/>
        <v>2.38761904761905</v>
      </c>
      <c r="AA50" s="106">
        <f t="shared" si="19"/>
        <v>1.43754588477164</v>
      </c>
      <c r="AB50" s="106">
        <v>0</v>
      </c>
      <c r="AC50" s="106">
        <f t="shared" si="20"/>
        <v>0.0206653817082388</v>
      </c>
      <c r="AD50" s="107">
        <f t="shared" si="21"/>
        <v>0.0206653817082388</v>
      </c>
      <c r="AE50" s="105">
        <f t="shared" si="22"/>
        <v>0.586984126984127</v>
      </c>
      <c r="AF50" s="106">
        <f t="shared" si="23"/>
        <v>1.43754588477164</v>
      </c>
      <c r="AG50" s="106">
        <f t="shared" si="39"/>
        <v>0.154990362811791</v>
      </c>
      <c r="AH50" s="106">
        <f t="shared" si="40"/>
        <v>0.213949326609851</v>
      </c>
      <c r="AI50" s="107">
        <f t="shared" si="24"/>
        <v>0.368939689421642</v>
      </c>
      <c r="AJ50" s="105">
        <f t="shared" si="25"/>
        <v>0.573333333333333</v>
      </c>
      <c r="AK50" s="106">
        <f t="shared" si="26"/>
        <v>1.17589242232361</v>
      </c>
      <c r="AL50" s="106">
        <f t="shared" si="27"/>
        <v>0.355466666666667</v>
      </c>
      <c r="AM50" s="106">
        <f t="shared" si="41"/>
        <v>0</v>
      </c>
      <c r="AN50" s="107">
        <f t="shared" si="28"/>
        <v>0.355466666666667</v>
      </c>
      <c r="AO50" s="105">
        <f t="shared" si="42"/>
        <v>0.103326908541194</v>
      </c>
      <c r="AP50" s="106">
        <f t="shared" si="16"/>
        <v>0.108</v>
      </c>
      <c r="AQ50" s="107">
        <f t="shared" si="29"/>
        <v>0.0132</v>
      </c>
      <c r="AR50" s="105">
        <f t="shared" si="30"/>
        <v>0.948933264629503</v>
      </c>
      <c r="AS50" s="106">
        <f t="shared" si="31"/>
        <v>5.73333333333333</v>
      </c>
      <c r="AT50" s="107">
        <f t="shared" si="32"/>
        <v>85.7992306844089</v>
      </c>
    </row>
    <row r="51" spans="17:46">
      <c r="Q51">
        <v>44</v>
      </c>
      <c r="R51" s="105">
        <f t="shared" si="0"/>
        <v>10</v>
      </c>
      <c r="S51" s="106">
        <f t="shared" si="34"/>
        <v>0.586666666666667</v>
      </c>
      <c r="T51" s="106">
        <f t="shared" si="2"/>
        <v>4</v>
      </c>
      <c r="U51" s="107">
        <f t="shared" si="35"/>
        <v>1.46666666666667</v>
      </c>
      <c r="V51" s="105">
        <f t="shared" si="36"/>
        <v>2</v>
      </c>
      <c r="W51" s="106">
        <f t="shared" si="37"/>
        <v>0.714285714285714</v>
      </c>
      <c r="X51" s="107">
        <f t="shared" si="38"/>
        <v>0.285714285714286</v>
      </c>
      <c r="Y51" s="105">
        <f t="shared" si="18"/>
        <v>0.380952380952381</v>
      </c>
      <c r="Z51" s="106">
        <f t="shared" si="33"/>
        <v>2.43428571428571</v>
      </c>
      <c r="AA51" s="106">
        <f t="shared" si="19"/>
        <v>1.47078374939709</v>
      </c>
      <c r="AB51" s="106">
        <v>0</v>
      </c>
      <c r="AC51" s="106">
        <f t="shared" si="20"/>
        <v>0.0216320483749055</v>
      </c>
      <c r="AD51" s="107">
        <f t="shared" si="21"/>
        <v>0.0216320483749055</v>
      </c>
      <c r="AE51" s="105">
        <f t="shared" si="22"/>
        <v>0.614603174603175</v>
      </c>
      <c r="AF51" s="106">
        <f t="shared" si="23"/>
        <v>1.47078374939709</v>
      </c>
      <c r="AG51" s="106">
        <f t="shared" si="39"/>
        <v>0.162240362811791</v>
      </c>
      <c r="AH51" s="106">
        <f t="shared" si="40"/>
        <v>0.218924892344963</v>
      </c>
      <c r="AI51" s="107">
        <f t="shared" si="24"/>
        <v>0.381165255156755</v>
      </c>
      <c r="AJ51" s="105">
        <f t="shared" si="25"/>
        <v>0.586666666666667</v>
      </c>
      <c r="AK51" s="106">
        <f t="shared" si="26"/>
        <v>1.20080626551113</v>
      </c>
      <c r="AL51" s="106">
        <f t="shared" si="27"/>
        <v>0.363733333333333</v>
      </c>
      <c r="AM51" s="106">
        <f t="shared" si="41"/>
        <v>0</v>
      </c>
      <c r="AN51" s="107">
        <f t="shared" si="28"/>
        <v>0.363733333333333</v>
      </c>
      <c r="AO51" s="105">
        <f t="shared" si="42"/>
        <v>0.108160241874528</v>
      </c>
      <c r="AP51" s="106">
        <f t="shared" si="16"/>
        <v>0.108</v>
      </c>
      <c r="AQ51" s="107">
        <f t="shared" si="29"/>
        <v>0.0132</v>
      </c>
      <c r="AR51" s="105">
        <f t="shared" si="30"/>
        <v>0.974258830364616</v>
      </c>
      <c r="AS51" s="106">
        <f t="shared" si="31"/>
        <v>5.86666666666667</v>
      </c>
      <c r="AT51" s="107">
        <f t="shared" si="32"/>
        <v>85.7583768338449</v>
      </c>
    </row>
    <row r="52" spans="17:46">
      <c r="Q52">
        <v>45</v>
      </c>
      <c r="R52" s="105">
        <f t="shared" si="0"/>
        <v>10</v>
      </c>
      <c r="S52" s="106">
        <f t="shared" si="34"/>
        <v>0.6</v>
      </c>
      <c r="T52" s="106">
        <f t="shared" si="2"/>
        <v>4</v>
      </c>
      <c r="U52" s="107">
        <f t="shared" si="35"/>
        <v>1.5</v>
      </c>
      <c r="V52" s="105">
        <f t="shared" si="36"/>
        <v>2</v>
      </c>
      <c r="W52" s="106">
        <f t="shared" si="37"/>
        <v>0.714285714285714</v>
      </c>
      <c r="X52" s="107">
        <f t="shared" si="38"/>
        <v>0.285714285714286</v>
      </c>
      <c r="Y52" s="105">
        <f t="shared" si="18"/>
        <v>0.380952380952381</v>
      </c>
      <c r="Z52" s="106">
        <f t="shared" si="33"/>
        <v>2.48095238095238</v>
      </c>
      <c r="AA52" s="106">
        <f t="shared" si="19"/>
        <v>1.50402583966481</v>
      </c>
      <c r="AB52" s="106">
        <v>0</v>
      </c>
      <c r="AC52" s="106">
        <f t="shared" si="20"/>
        <v>0.0226209372637944</v>
      </c>
      <c r="AD52" s="107">
        <f t="shared" si="21"/>
        <v>0.0226209372637944</v>
      </c>
      <c r="AE52" s="105">
        <f t="shared" si="22"/>
        <v>0.642857142857143</v>
      </c>
      <c r="AF52" s="106">
        <f t="shared" si="23"/>
        <v>1.50402583966481</v>
      </c>
      <c r="AG52" s="106">
        <f t="shared" si="39"/>
        <v>0.169657029478458</v>
      </c>
      <c r="AH52" s="106">
        <f t="shared" si="40"/>
        <v>0.223900458080076</v>
      </c>
      <c r="AI52" s="107">
        <f t="shared" si="24"/>
        <v>0.393557487558534</v>
      </c>
      <c r="AJ52" s="105">
        <f t="shared" si="25"/>
        <v>0.6</v>
      </c>
      <c r="AK52" s="106">
        <f t="shared" si="26"/>
        <v>1.22572135093908</v>
      </c>
      <c r="AL52" s="106">
        <f t="shared" si="27"/>
        <v>0.372</v>
      </c>
      <c r="AM52" s="106">
        <f t="shared" si="41"/>
        <v>0</v>
      </c>
      <c r="AN52" s="107">
        <f t="shared" si="28"/>
        <v>0.372</v>
      </c>
      <c r="AO52" s="105">
        <f t="shared" si="42"/>
        <v>0.113104686318972</v>
      </c>
      <c r="AP52" s="106">
        <f t="shared" si="16"/>
        <v>0.108</v>
      </c>
      <c r="AQ52" s="107">
        <f t="shared" si="29"/>
        <v>0.0132</v>
      </c>
      <c r="AR52" s="105">
        <f t="shared" si="30"/>
        <v>0.999862173877506</v>
      </c>
      <c r="AS52" s="106">
        <f t="shared" si="31"/>
        <v>6</v>
      </c>
      <c r="AT52" s="107">
        <f t="shared" si="32"/>
        <v>85.7159734143216</v>
      </c>
    </row>
    <row r="53" spans="17:46">
      <c r="Q53">
        <v>46</v>
      </c>
      <c r="R53" s="105">
        <f t="shared" si="0"/>
        <v>10</v>
      </c>
      <c r="S53" s="106">
        <f t="shared" si="34"/>
        <v>0.613333333333333</v>
      </c>
      <c r="T53" s="106">
        <f t="shared" si="2"/>
        <v>4</v>
      </c>
      <c r="U53" s="107">
        <f t="shared" si="35"/>
        <v>1.53333333333333</v>
      </c>
      <c r="V53" s="105">
        <f t="shared" si="36"/>
        <v>2</v>
      </c>
      <c r="W53" s="106">
        <f t="shared" si="37"/>
        <v>0.714285714285714</v>
      </c>
      <c r="X53" s="107">
        <f t="shared" si="38"/>
        <v>0.285714285714286</v>
      </c>
      <c r="Y53" s="105">
        <f t="shared" si="18"/>
        <v>0.380952380952381</v>
      </c>
      <c r="Z53" s="106">
        <f t="shared" si="33"/>
        <v>2.52761904761905</v>
      </c>
      <c r="AA53" s="106">
        <f t="shared" si="19"/>
        <v>1.53727188144796</v>
      </c>
      <c r="AB53" s="106">
        <v>0</v>
      </c>
      <c r="AC53" s="106">
        <f t="shared" si="20"/>
        <v>0.0236320483749055</v>
      </c>
      <c r="AD53" s="107">
        <f t="shared" si="21"/>
        <v>0.0236320483749055</v>
      </c>
      <c r="AE53" s="105">
        <f t="shared" si="22"/>
        <v>0.671746031746032</v>
      </c>
      <c r="AF53" s="106">
        <f t="shared" si="23"/>
        <v>1.53727188144796</v>
      </c>
      <c r="AG53" s="106">
        <f t="shared" si="39"/>
        <v>0.177240362811791</v>
      </c>
      <c r="AH53" s="106">
        <f t="shared" si="40"/>
        <v>0.228876023815189</v>
      </c>
      <c r="AI53" s="107">
        <f t="shared" si="24"/>
        <v>0.40611638662698</v>
      </c>
      <c r="AJ53" s="105">
        <f t="shared" si="25"/>
        <v>0.613333333333333</v>
      </c>
      <c r="AK53" s="106">
        <f t="shared" si="26"/>
        <v>1.25063760436408</v>
      </c>
      <c r="AL53" s="106">
        <f t="shared" si="27"/>
        <v>0.380266666666667</v>
      </c>
      <c r="AM53" s="106">
        <f t="shared" si="41"/>
        <v>0</v>
      </c>
      <c r="AN53" s="107">
        <f t="shared" si="28"/>
        <v>0.380266666666667</v>
      </c>
      <c r="AO53" s="105">
        <f t="shared" si="42"/>
        <v>0.118160241874528</v>
      </c>
      <c r="AP53" s="106">
        <f t="shared" si="16"/>
        <v>0.108</v>
      </c>
      <c r="AQ53" s="107">
        <f t="shared" si="29"/>
        <v>0.0132</v>
      </c>
      <c r="AR53" s="105">
        <f t="shared" si="30"/>
        <v>1.02574329516817</v>
      </c>
      <c r="AS53" s="106">
        <f t="shared" si="31"/>
        <v>6.13333333333333</v>
      </c>
      <c r="AT53" s="107">
        <f t="shared" si="32"/>
        <v>85.6721285663501</v>
      </c>
    </row>
    <row r="54" spans="17:46">
      <c r="Q54">
        <v>47</v>
      </c>
      <c r="R54" s="105">
        <f t="shared" si="0"/>
        <v>10</v>
      </c>
      <c r="S54" s="106">
        <f t="shared" si="34"/>
        <v>0.626666666666667</v>
      </c>
      <c r="T54" s="106">
        <f t="shared" si="2"/>
        <v>4</v>
      </c>
      <c r="U54" s="107">
        <f t="shared" si="35"/>
        <v>1.56666666666667</v>
      </c>
      <c r="V54" s="105">
        <f t="shared" si="36"/>
        <v>2</v>
      </c>
      <c r="W54" s="106">
        <f t="shared" si="37"/>
        <v>0.714285714285714</v>
      </c>
      <c r="X54" s="107">
        <f t="shared" si="38"/>
        <v>0.285714285714286</v>
      </c>
      <c r="Y54" s="105">
        <f t="shared" si="18"/>
        <v>0.380952380952381</v>
      </c>
      <c r="Z54" s="106">
        <f t="shared" si="33"/>
        <v>2.57428571428571</v>
      </c>
      <c r="AA54" s="106">
        <f t="shared" si="19"/>
        <v>1.57052162380016</v>
      </c>
      <c r="AB54" s="106">
        <v>0</v>
      </c>
      <c r="AC54" s="106">
        <f t="shared" si="20"/>
        <v>0.0246653817082389</v>
      </c>
      <c r="AD54" s="107">
        <f t="shared" si="21"/>
        <v>0.0246653817082389</v>
      </c>
      <c r="AE54" s="105">
        <f t="shared" si="22"/>
        <v>0.701269841269841</v>
      </c>
      <c r="AF54" s="106">
        <f t="shared" si="23"/>
        <v>1.57052162380016</v>
      </c>
      <c r="AG54" s="106">
        <f t="shared" si="39"/>
        <v>0.184990362811791</v>
      </c>
      <c r="AH54" s="106">
        <f t="shared" si="40"/>
        <v>0.233851589550302</v>
      </c>
      <c r="AI54" s="107">
        <f t="shared" si="24"/>
        <v>0.418841952362093</v>
      </c>
      <c r="AJ54" s="105">
        <f t="shared" si="25"/>
        <v>0.626666666666667</v>
      </c>
      <c r="AK54" s="106">
        <f t="shared" si="26"/>
        <v>1.27555495734035</v>
      </c>
      <c r="AL54" s="106">
        <f t="shared" si="27"/>
        <v>0.388533333333333</v>
      </c>
      <c r="AM54" s="106">
        <f t="shared" si="41"/>
        <v>0</v>
      </c>
      <c r="AN54" s="107">
        <f t="shared" si="28"/>
        <v>0.388533333333333</v>
      </c>
      <c r="AO54" s="105">
        <f t="shared" si="42"/>
        <v>0.123326908541194</v>
      </c>
      <c r="AP54" s="106">
        <f t="shared" si="16"/>
        <v>0.108</v>
      </c>
      <c r="AQ54" s="107">
        <f t="shared" si="29"/>
        <v>0.0132</v>
      </c>
      <c r="AR54" s="105">
        <f t="shared" si="30"/>
        <v>1.05190219423662</v>
      </c>
      <c r="AS54" s="106">
        <f t="shared" si="31"/>
        <v>6.26666666666667</v>
      </c>
      <c r="AT54" s="107">
        <f t="shared" si="32"/>
        <v>85.6269413565811</v>
      </c>
    </row>
    <row r="55" spans="17:46">
      <c r="Q55">
        <v>48</v>
      </c>
      <c r="R55" s="105">
        <f t="shared" si="0"/>
        <v>10</v>
      </c>
      <c r="S55" s="106">
        <f t="shared" si="34"/>
        <v>0.64</v>
      </c>
      <c r="T55" s="106">
        <f t="shared" si="2"/>
        <v>4</v>
      </c>
      <c r="U55" s="107">
        <f t="shared" si="35"/>
        <v>1.6</v>
      </c>
      <c r="V55" s="105">
        <f t="shared" si="36"/>
        <v>2</v>
      </c>
      <c r="W55" s="106">
        <f t="shared" si="37"/>
        <v>0.714285714285714</v>
      </c>
      <c r="X55" s="107">
        <f t="shared" si="38"/>
        <v>0.285714285714286</v>
      </c>
      <c r="Y55" s="105">
        <f t="shared" si="18"/>
        <v>0.380952380952381</v>
      </c>
      <c r="Z55" s="106">
        <f t="shared" si="33"/>
        <v>2.62095238095238</v>
      </c>
      <c r="AA55" s="106">
        <f t="shared" si="19"/>
        <v>1.60377483655887</v>
      </c>
      <c r="AB55" s="106">
        <v>0</v>
      </c>
      <c r="AC55" s="106">
        <f t="shared" si="20"/>
        <v>0.0257209372637944</v>
      </c>
      <c r="AD55" s="107">
        <f t="shared" si="21"/>
        <v>0.0257209372637944</v>
      </c>
      <c r="AE55" s="105">
        <f t="shared" si="22"/>
        <v>0.731428571428571</v>
      </c>
      <c r="AF55" s="106">
        <f t="shared" si="23"/>
        <v>1.60377483655887</v>
      </c>
      <c r="AG55" s="106">
        <f t="shared" si="39"/>
        <v>0.192907029478458</v>
      </c>
      <c r="AH55" s="106">
        <f t="shared" si="40"/>
        <v>0.238827155285415</v>
      </c>
      <c r="AI55" s="107">
        <f t="shared" si="24"/>
        <v>0.431734184763873</v>
      </c>
      <c r="AJ55" s="105">
        <f t="shared" si="25"/>
        <v>0.64</v>
      </c>
      <c r="AK55" s="106">
        <f t="shared" si="26"/>
        <v>1.30047334666499</v>
      </c>
      <c r="AL55" s="106">
        <f t="shared" si="27"/>
        <v>0.3968</v>
      </c>
      <c r="AM55" s="106">
        <f t="shared" si="41"/>
        <v>0</v>
      </c>
      <c r="AN55" s="107">
        <f t="shared" si="28"/>
        <v>0.3968</v>
      </c>
      <c r="AO55" s="105">
        <f t="shared" si="42"/>
        <v>0.128604686318972</v>
      </c>
      <c r="AP55" s="106">
        <f t="shared" si="16"/>
        <v>0.108</v>
      </c>
      <c r="AQ55" s="107">
        <f t="shared" si="29"/>
        <v>0.0132</v>
      </c>
      <c r="AR55" s="105">
        <f t="shared" si="30"/>
        <v>1.07833887108284</v>
      </c>
      <c r="AS55" s="106">
        <f t="shared" si="31"/>
        <v>6.4</v>
      </c>
      <c r="AT55" s="107">
        <f t="shared" si="32"/>
        <v>85.5805027069239</v>
      </c>
    </row>
    <row r="56" spans="17:46">
      <c r="Q56">
        <v>49</v>
      </c>
      <c r="R56" s="105">
        <f t="shared" si="0"/>
        <v>10</v>
      </c>
      <c r="S56" s="106">
        <f t="shared" si="34"/>
        <v>0.653333333333333</v>
      </c>
      <c r="T56" s="106">
        <f t="shared" si="2"/>
        <v>4</v>
      </c>
      <c r="U56" s="107">
        <f t="shared" si="35"/>
        <v>1.63333333333333</v>
      </c>
      <c r="V56" s="105">
        <f t="shared" si="36"/>
        <v>2</v>
      </c>
      <c r="W56" s="106">
        <f t="shared" si="37"/>
        <v>0.714285714285714</v>
      </c>
      <c r="X56" s="107">
        <f t="shared" si="38"/>
        <v>0.285714285714286</v>
      </c>
      <c r="Y56" s="105">
        <f t="shared" si="18"/>
        <v>0.380952380952381</v>
      </c>
      <c r="Z56" s="106">
        <f t="shared" si="33"/>
        <v>2.66761904761905</v>
      </c>
      <c r="AA56" s="106">
        <f t="shared" si="19"/>
        <v>1.63703130823977</v>
      </c>
      <c r="AB56" s="106">
        <v>0</v>
      </c>
      <c r="AC56" s="106">
        <f t="shared" si="20"/>
        <v>0.0267987150415722</v>
      </c>
      <c r="AD56" s="107">
        <f t="shared" si="21"/>
        <v>0.0267987150415722</v>
      </c>
      <c r="AE56" s="105">
        <f t="shared" si="22"/>
        <v>0.762222222222222</v>
      </c>
      <c r="AF56" s="106">
        <f t="shared" si="23"/>
        <v>1.63703130823977</v>
      </c>
      <c r="AG56" s="106">
        <f t="shared" si="39"/>
        <v>0.200990362811791</v>
      </c>
      <c r="AH56" s="106">
        <f t="shared" si="40"/>
        <v>0.243802721020527</v>
      </c>
      <c r="AI56" s="107">
        <f t="shared" si="24"/>
        <v>0.444793083832319</v>
      </c>
      <c r="AJ56" s="105">
        <f t="shared" si="25"/>
        <v>0.653333333333333</v>
      </c>
      <c r="AK56" s="106">
        <f t="shared" si="26"/>
        <v>1.32539271388557</v>
      </c>
      <c r="AL56" s="106">
        <f t="shared" si="27"/>
        <v>0.405066666666667</v>
      </c>
      <c r="AM56" s="106">
        <f t="shared" si="41"/>
        <v>0</v>
      </c>
      <c r="AN56" s="107">
        <f t="shared" si="28"/>
        <v>0.405066666666667</v>
      </c>
      <c r="AO56" s="105">
        <f t="shared" si="42"/>
        <v>0.133993575207861</v>
      </c>
      <c r="AP56" s="106">
        <f t="shared" si="16"/>
        <v>0.108</v>
      </c>
      <c r="AQ56" s="107">
        <f t="shared" si="29"/>
        <v>0.0132</v>
      </c>
      <c r="AR56" s="105">
        <f t="shared" si="30"/>
        <v>1.10505332570685</v>
      </c>
      <c r="AS56" s="106">
        <f t="shared" si="31"/>
        <v>6.53333333333333</v>
      </c>
      <c r="AT56" s="107">
        <f t="shared" si="32"/>
        <v>85.5328962118068</v>
      </c>
    </row>
    <row r="57" spans="17:46">
      <c r="Q57">
        <v>50</v>
      </c>
      <c r="R57" s="105">
        <f t="shared" si="0"/>
        <v>10</v>
      </c>
      <c r="S57" s="106">
        <f t="shared" si="34"/>
        <v>0.666666666666667</v>
      </c>
      <c r="T57" s="106">
        <f t="shared" si="2"/>
        <v>4</v>
      </c>
      <c r="U57" s="107">
        <f t="shared" si="35"/>
        <v>1.66666666666667</v>
      </c>
      <c r="V57" s="105">
        <f t="shared" si="36"/>
        <v>2</v>
      </c>
      <c r="W57" s="106">
        <f t="shared" si="37"/>
        <v>0.714285714285714</v>
      </c>
      <c r="X57" s="107">
        <f t="shared" si="38"/>
        <v>0.285714285714286</v>
      </c>
      <c r="Y57" s="105">
        <f t="shared" si="18"/>
        <v>0.380952380952381</v>
      </c>
      <c r="Z57" s="106">
        <f t="shared" si="33"/>
        <v>2.71428571428571</v>
      </c>
      <c r="AA57" s="106">
        <f t="shared" si="19"/>
        <v>1.6702908441817</v>
      </c>
      <c r="AB57" s="106">
        <v>0</v>
      </c>
      <c r="AC57" s="106">
        <f t="shared" si="20"/>
        <v>0.0278987150415722</v>
      </c>
      <c r="AD57" s="107">
        <f t="shared" si="21"/>
        <v>0.0278987150415722</v>
      </c>
      <c r="AE57" s="105">
        <f t="shared" si="22"/>
        <v>0.793650793650794</v>
      </c>
      <c r="AF57" s="106">
        <f t="shared" si="23"/>
        <v>1.6702908441817</v>
      </c>
      <c r="AG57" s="106">
        <f t="shared" si="39"/>
        <v>0.209240362811791</v>
      </c>
      <c r="AH57" s="106">
        <f t="shared" si="40"/>
        <v>0.24877828675564</v>
      </c>
      <c r="AI57" s="107">
        <f t="shared" si="24"/>
        <v>0.458018649567432</v>
      </c>
      <c r="AJ57" s="105">
        <f t="shared" si="25"/>
        <v>0.666666666666667</v>
      </c>
      <c r="AK57" s="106">
        <f t="shared" si="26"/>
        <v>1.35031300486232</v>
      </c>
      <c r="AL57" s="106">
        <f t="shared" si="27"/>
        <v>0.413333333333333</v>
      </c>
      <c r="AM57" s="106">
        <f t="shared" si="41"/>
        <v>0</v>
      </c>
      <c r="AN57" s="107">
        <f t="shared" si="28"/>
        <v>0.413333333333333</v>
      </c>
      <c r="AO57" s="105">
        <f t="shared" si="42"/>
        <v>0.139493575207861</v>
      </c>
      <c r="AP57" s="106">
        <f t="shared" si="16"/>
        <v>0.108</v>
      </c>
      <c r="AQ57" s="107">
        <f t="shared" si="29"/>
        <v>0.0132</v>
      </c>
      <c r="AR57" s="105">
        <f t="shared" si="30"/>
        <v>1.13204555810863</v>
      </c>
      <c r="AS57" s="106">
        <f t="shared" si="31"/>
        <v>6.66666666666667</v>
      </c>
      <c r="AT57" s="107">
        <f t="shared" si="32"/>
        <v>85.4841988589822</v>
      </c>
    </row>
    <row r="58" spans="17:46">
      <c r="Q58">
        <v>51</v>
      </c>
      <c r="R58" s="105">
        <f t="shared" si="0"/>
        <v>10</v>
      </c>
      <c r="S58" s="106">
        <f t="shared" si="34"/>
        <v>0.68</v>
      </c>
      <c r="T58" s="106">
        <f t="shared" si="2"/>
        <v>4</v>
      </c>
      <c r="U58" s="107">
        <f t="shared" si="35"/>
        <v>1.7</v>
      </c>
      <c r="V58" s="105">
        <f t="shared" si="36"/>
        <v>2</v>
      </c>
      <c r="W58" s="106">
        <f t="shared" si="37"/>
        <v>0.714285714285714</v>
      </c>
      <c r="X58" s="107">
        <f t="shared" si="38"/>
        <v>0.285714285714286</v>
      </c>
      <c r="Y58" s="105">
        <f t="shared" si="18"/>
        <v>0.380952380952381</v>
      </c>
      <c r="Z58" s="106">
        <f t="shared" si="33"/>
        <v>2.76095238095238</v>
      </c>
      <c r="AA58" s="106">
        <f t="shared" si="19"/>
        <v>1.70355326490822</v>
      </c>
      <c r="AB58" s="106">
        <v>0</v>
      </c>
      <c r="AC58" s="106">
        <f t="shared" si="20"/>
        <v>0.0290209372637944</v>
      </c>
      <c r="AD58" s="107">
        <f t="shared" si="21"/>
        <v>0.0290209372637944</v>
      </c>
      <c r="AE58" s="105">
        <f t="shared" si="22"/>
        <v>0.825714285714286</v>
      </c>
      <c r="AF58" s="106">
        <f t="shared" si="23"/>
        <v>1.70355326490822</v>
      </c>
      <c r="AG58" s="106">
        <f t="shared" si="39"/>
        <v>0.217657029478458</v>
      </c>
      <c r="AH58" s="106">
        <f t="shared" si="40"/>
        <v>0.253753852490753</v>
      </c>
      <c r="AI58" s="107">
        <f t="shared" si="24"/>
        <v>0.471410881969211</v>
      </c>
      <c r="AJ58" s="105">
        <f t="shared" si="25"/>
        <v>0.68</v>
      </c>
      <c r="AK58" s="106">
        <f t="shared" si="26"/>
        <v>1.37523416937775</v>
      </c>
      <c r="AL58" s="106">
        <f t="shared" si="27"/>
        <v>0.4216</v>
      </c>
      <c r="AM58" s="106">
        <f t="shared" si="41"/>
        <v>0</v>
      </c>
      <c r="AN58" s="107">
        <f t="shared" si="28"/>
        <v>0.4216</v>
      </c>
      <c r="AO58" s="105">
        <f t="shared" si="42"/>
        <v>0.145104686318972</v>
      </c>
      <c r="AP58" s="106">
        <f t="shared" si="16"/>
        <v>0.108</v>
      </c>
      <c r="AQ58" s="107">
        <f t="shared" si="29"/>
        <v>0.0132</v>
      </c>
      <c r="AR58" s="105">
        <f t="shared" si="30"/>
        <v>1.15931556828818</v>
      </c>
      <c r="AS58" s="106">
        <f t="shared" si="31"/>
        <v>6.8</v>
      </c>
      <c r="AT58" s="107">
        <f t="shared" si="32"/>
        <v>85.4344816669014</v>
      </c>
    </row>
    <row r="59" spans="17:46">
      <c r="Q59">
        <v>52</v>
      </c>
      <c r="R59" s="105">
        <f t="shared" si="0"/>
        <v>10</v>
      </c>
      <c r="S59" s="106">
        <f t="shared" si="34"/>
        <v>0.693333333333333</v>
      </c>
      <c r="T59" s="106">
        <f t="shared" si="2"/>
        <v>4</v>
      </c>
      <c r="U59" s="107">
        <f t="shared" si="35"/>
        <v>1.73333333333333</v>
      </c>
      <c r="V59" s="105">
        <f t="shared" si="36"/>
        <v>2</v>
      </c>
      <c r="W59" s="106">
        <f t="shared" si="37"/>
        <v>0.714285714285714</v>
      </c>
      <c r="X59" s="107">
        <f t="shared" si="38"/>
        <v>0.285714285714286</v>
      </c>
      <c r="Y59" s="105">
        <f t="shared" si="18"/>
        <v>0.380952380952381</v>
      </c>
      <c r="Z59" s="106">
        <f t="shared" si="33"/>
        <v>2.80761904761905</v>
      </c>
      <c r="AA59" s="106">
        <f t="shared" si="19"/>
        <v>1.73681840467675</v>
      </c>
      <c r="AB59" s="106">
        <v>0</v>
      </c>
      <c r="AC59" s="106">
        <f t="shared" si="20"/>
        <v>0.0301653817082389</v>
      </c>
      <c r="AD59" s="107">
        <f t="shared" si="21"/>
        <v>0.0301653817082389</v>
      </c>
      <c r="AE59" s="105">
        <f t="shared" si="22"/>
        <v>0.858412698412699</v>
      </c>
      <c r="AF59" s="106">
        <f t="shared" si="23"/>
        <v>1.73681840467675</v>
      </c>
      <c r="AG59" s="106">
        <f t="shared" si="39"/>
        <v>0.226240362811791</v>
      </c>
      <c r="AH59" s="106">
        <f t="shared" si="40"/>
        <v>0.258729418225866</v>
      </c>
      <c r="AI59" s="107">
        <f t="shared" si="24"/>
        <v>0.484969781037657</v>
      </c>
      <c r="AJ59" s="105">
        <f t="shared" si="25"/>
        <v>0.693333333333333</v>
      </c>
      <c r="AK59" s="106">
        <f t="shared" si="26"/>
        <v>1.40015616078792</v>
      </c>
      <c r="AL59" s="106">
        <f t="shared" si="27"/>
        <v>0.429866666666667</v>
      </c>
      <c r="AM59" s="106">
        <f t="shared" si="41"/>
        <v>0</v>
      </c>
      <c r="AN59" s="107">
        <f t="shared" si="28"/>
        <v>0.429866666666667</v>
      </c>
      <c r="AO59" s="105">
        <f t="shared" si="42"/>
        <v>0.150826908541194</v>
      </c>
      <c r="AP59" s="106">
        <f t="shared" si="16"/>
        <v>0.108</v>
      </c>
      <c r="AQ59" s="107">
        <f t="shared" si="29"/>
        <v>0.0132</v>
      </c>
      <c r="AR59" s="105">
        <f t="shared" si="30"/>
        <v>1.18686335624552</v>
      </c>
      <c r="AS59" s="106">
        <f t="shared" si="31"/>
        <v>6.93333333333333</v>
      </c>
      <c r="AT59" s="107">
        <f t="shared" si="32"/>
        <v>85.3838102497111</v>
      </c>
    </row>
    <row r="60" spans="17:46">
      <c r="Q60">
        <v>53</v>
      </c>
      <c r="R60" s="105">
        <f t="shared" si="0"/>
        <v>10</v>
      </c>
      <c r="S60" s="106">
        <f t="shared" si="34"/>
        <v>0.706666666666667</v>
      </c>
      <c r="T60" s="106">
        <f t="shared" si="2"/>
        <v>4</v>
      </c>
      <c r="U60" s="107">
        <f t="shared" si="35"/>
        <v>1.76666666666667</v>
      </c>
      <c r="V60" s="105">
        <f t="shared" si="36"/>
        <v>2</v>
      </c>
      <c r="W60" s="106">
        <f t="shared" si="37"/>
        <v>0.714285714285714</v>
      </c>
      <c r="X60" s="107">
        <f t="shared" si="38"/>
        <v>0.285714285714286</v>
      </c>
      <c r="Y60" s="105">
        <f t="shared" si="18"/>
        <v>0.380952380952381</v>
      </c>
      <c r="Z60" s="106">
        <f t="shared" si="33"/>
        <v>2.85428571428571</v>
      </c>
      <c r="AA60" s="106">
        <f t="shared" si="19"/>
        <v>1.77008611019084</v>
      </c>
      <c r="AB60" s="106">
        <v>0</v>
      </c>
      <c r="AC60" s="106">
        <f t="shared" si="20"/>
        <v>0.0313320483749055</v>
      </c>
      <c r="AD60" s="107">
        <f t="shared" si="21"/>
        <v>0.0313320483749055</v>
      </c>
      <c r="AE60" s="105">
        <f t="shared" si="22"/>
        <v>0.891746031746032</v>
      </c>
      <c r="AF60" s="106">
        <f t="shared" si="23"/>
        <v>1.77008611019084</v>
      </c>
      <c r="AG60" s="106">
        <f t="shared" si="39"/>
        <v>0.234990362811791</v>
      </c>
      <c r="AH60" s="106">
        <f t="shared" si="40"/>
        <v>0.263704983960979</v>
      </c>
      <c r="AI60" s="107">
        <f t="shared" si="24"/>
        <v>0.49869534677277</v>
      </c>
      <c r="AJ60" s="105">
        <f t="shared" si="25"/>
        <v>0.706666666666667</v>
      </c>
      <c r="AK60" s="106">
        <f t="shared" si="26"/>
        <v>1.42507893571026</v>
      </c>
      <c r="AL60" s="106">
        <f t="shared" si="27"/>
        <v>0.438133333333333</v>
      </c>
      <c r="AM60" s="106">
        <f t="shared" si="41"/>
        <v>0</v>
      </c>
      <c r="AN60" s="107">
        <f t="shared" si="28"/>
        <v>0.438133333333333</v>
      </c>
      <c r="AO60" s="105">
        <f t="shared" si="42"/>
        <v>0.156660241874528</v>
      </c>
      <c r="AP60" s="106">
        <f t="shared" si="16"/>
        <v>0.108</v>
      </c>
      <c r="AQ60" s="107">
        <f t="shared" si="29"/>
        <v>0.0132</v>
      </c>
      <c r="AR60" s="105">
        <f t="shared" si="30"/>
        <v>1.21468892198063</v>
      </c>
      <c r="AS60" s="106">
        <f t="shared" si="31"/>
        <v>7.06666666666667</v>
      </c>
      <c r="AT60" s="107">
        <f t="shared" si="32"/>
        <v>85.332245319283</v>
      </c>
    </row>
    <row r="61" spans="17:46">
      <c r="Q61">
        <v>54</v>
      </c>
      <c r="R61" s="105">
        <f t="shared" si="0"/>
        <v>10</v>
      </c>
      <c r="S61" s="106">
        <f t="shared" si="34"/>
        <v>0.72</v>
      </c>
      <c r="T61" s="106">
        <f t="shared" si="2"/>
        <v>4</v>
      </c>
      <c r="U61" s="107">
        <f t="shared" si="35"/>
        <v>1.8</v>
      </c>
      <c r="V61" s="105">
        <f t="shared" si="36"/>
        <v>2</v>
      </c>
      <c r="W61" s="106">
        <f t="shared" si="37"/>
        <v>0.714285714285714</v>
      </c>
      <c r="X61" s="107">
        <f t="shared" si="38"/>
        <v>0.285714285714286</v>
      </c>
      <c r="Y61" s="105">
        <f t="shared" si="18"/>
        <v>0.380952380952381</v>
      </c>
      <c r="Z61" s="106">
        <f t="shared" si="33"/>
        <v>2.90095238095238</v>
      </c>
      <c r="AA61" s="106">
        <f t="shared" si="19"/>
        <v>1.80335623945449</v>
      </c>
      <c r="AB61" s="106">
        <v>0</v>
      </c>
      <c r="AC61" s="106">
        <f t="shared" si="20"/>
        <v>0.0325209372637944</v>
      </c>
      <c r="AD61" s="107">
        <f t="shared" si="21"/>
        <v>0.0325209372637944</v>
      </c>
      <c r="AE61" s="105">
        <f t="shared" si="22"/>
        <v>0.925714285714286</v>
      </c>
      <c r="AF61" s="106">
        <f t="shared" si="23"/>
        <v>1.80335623945449</v>
      </c>
      <c r="AG61" s="106">
        <f t="shared" si="39"/>
        <v>0.243907029478458</v>
      </c>
      <c r="AH61" s="106">
        <f t="shared" si="40"/>
        <v>0.268680549696091</v>
      </c>
      <c r="AI61" s="107">
        <f t="shared" si="24"/>
        <v>0.51258757917455</v>
      </c>
      <c r="AJ61" s="105">
        <f t="shared" si="25"/>
        <v>0.72</v>
      </c>
      <c r="AK61" s="106">
        <f t="shared" si="26"/>
        <v>1.45000245374352</v>
      </c>
      <c r="AL61" s="106">
        <f t="shared" si="27"/>
        <v>0.4464</v>
      </c>
      <c r="AM61" s="106">
        <f t="shared" si="41"/>
        <v>0</v>
      </c>
      <c r="AN61" s="107">
        <f t="shared" si="28"/>
        <v>0.4464</v>
      </c>
      <c r="AO61" s="105">
        <f t="shared" si="42"/>
        <v>0.162604686318972</v>
      </c>
      <c r="AP61" s="106">
        <f t="shared" si="16"/>
        <v>0.108</v>
      </c>
      <c r="AQ61" s="107">
        <f t="shared" si="29"/>
        <v>0.0132</v>
      </c>
      <c r="AR61" s="105">
        <f t="shared" si="30"/>
        <v>1.24279226549352</v>
      </c>
      <c r="AS61" s="106">
        <f t="shared" si="31"/>
        <v>7.2</v>
      </c>
      <c r="AT61" s="107">
        <f t="shared" si="32"/>
        <v>85.2798431323138</v>
      </c>
    </row>
    <row r="62" spans="17:46">
      <c r="Q62">
        <v>55</v>
      </c>
      <c r="R62" s="105">
        <f t="shared" si="0"/>
        <v>10</v>
      </c>
      <c r="S62" s="106">
        <f t="shared" si="34"/>
        <v>0.733333333333333</v>
      </c>
      <c r="T62" s="106">
        <f t="shared" si="2"/>
        <v>4</v>
      </c>
      <c r="U62" s="107">
        <f t="shared" si="35"/>
        <v>1.83333333333333</v>
      </c>
      <c r="V62" s="105">
        <f t="shared" si="36"/>
        <v>2</v>
      </c>
      <c r="W62" s="106">
        <f t="shared" si="37"/>
        <v>0.714285714285714</v>
      </c>
      <c r="X62" s="107">
        <f t="shared" si="38"/>
        <v>0.285714285714286</v>
      </c>
      <c r="Y62" s="105">
        <f t="shared" si="18"/>
        <v>0.380952380952381</v>
      </c>
      <c r="Z62" s="106">
        <f t="shared" si="33"/>
        <v>2.94761904761905</v>
      </c>
      <c r="AA62" s="106">
        <f t="shared" si="19"/>
        <v>1.8366286607506</v>
      </c>
      <c r="AB62" s="106">
        <v>0</v>
      </c>
      <c r="AC62" s="106">
        <f t="shared" si="20"/>
        <v>0.0337320483749055</v>
      </c>
      <c r="AD62" s="107">
        <f t="shared" si="21"/>
        <v>0.0337320483749055</v>
      </c>
      <c r="AE62" s="105">
        <f t="shared" si="22"/>
        <v>0.96031746031746</v>
      </c>
      <c r="AF62" s="106">
        <f t="shared" si="23"/>
        <v>1.8366286607506</v>
      </c>
      <c r="AG62" s="106">
        <f t="shared" si="39"/>
        <v>0.252990362811791</v>
      </c>
      <c r="AH62" s="106">
        <f t="shared" si="40"/>
        <v>0.273656115431204</v>
      </c>
      <c r="AI62" s="107">
        <f t="shared" si="24"/>
        <v>0.526646478242996</v>
      </c>
      <c r="AJ62" s="105">
        <f t="shared" si="25"/>
        <v>0.733333333333333</v>
      </c>
      <c r="AK62" s="106">
        <f t="shared" si="26"/>
        <v>1.47492667721613</v>
      </c>
      <c r="AL62" s="106">
        <f t="shared" si="27"/>
        <v>0.454666666666667</v>
      </c>
      <c r="AM62" s="106">
        <f t="shared" si="41"/>
        <v>0</v>
      </c>
      <c r="AN62" s="107">
        <f t="shared" si="28"/>
        <v>0.454666666666667</v>
      </c>
      <c r="AO62" s="105">
        <f t="shared" si="42"/>
        <v>0.168660241874528</v>
      </c>
      <c r="AP62" s="106">
        <f t="shared" si="16"/>
        <v>0.108</v>
      </c>
      <c r="AQ62" s="107">
        <f t="shared" si="29"/>
        <v>0.0132</v>
      </c>
      <c r="AR62" s="105">
        <f t="shared" si="30"/>
        <v>1.27117338678419</v>
      </c>
      <c r="AS62" s="106">
        <f t="shared" si="31"/>
        <v>7.33333333333333</v>
      </c>
      <c r="AT62" s="107">
        <f t="shared" si="32"/>
        <v>85.2266558893823</v>
      </c>
    </row>
    <row r="63" spans="17:46">
      <c r="Q63">
        <v>56</v>
      </c>
      <c r="R63" s="105">
        <f t="shared" si="0"/>
        <v>10</v>
      </c>
      <c r="S63" s="106">
        <f t="shared" si="34"/>
        <v>0.746666666666667</v>
      </c>
      <c r="T63" s="106">
        <f t="shared" si="2"/>
        <v>4</v>
      </c>
      <c r="U63" s="107">
        <f t="shared" si="35"/>
        <v>1.86666666666667</v>
      </c>
      <c r="V63" s="105">
        <f t="shared" si="36"/>
        <v>2</v>
      </c>
      <c r="W63" s="106">
        <f t="shared" si="37"/>
        <v>0.714285714285714</v>
      </c>
      <c r="X63" s="107">
        <f t="shared" si="38"/>
        <v>0.285714285714286</v>
      </c>
      <c r="Y63" s="105">
        <f t="shared" si="18"/>
        <v>0.380952380952381</v>
      </c>
      <c r="Z63" s="106">
        <f t="shared" si="33"/>
        <v>2.99428571428571</v>
      </c>
      <c r="AA63" s="106">
        <f t="shared" si="19"/>
        <v>1.86990325172825</v>
      </c>
      <c r="AB63" s="106">
        <v>0</v>
      </c>
      <c r="AC63" s="106">
        <f t="shared" si="20"/>
        <v>0.0349653817082389</v>
      </c>
      <c r="AD63" s="107">
        <f t="shared" si="21"/>
        <v>0.0349653817082389</v>
      </c>
      <c r="AE63" s="105">
        <f t="shared" si="22"/>
        <v>0.995555555555556</v>
      </c>
      <c r="AF63" s="106">
        <f t="shared" si="23"/>
        <v>1.86990325172825</v>
      </c>
      <c r="AG63" s="106">
        <f t="shared" si="39"/>
        <v>0.262240362811791</v>
      </c>
      <c r="AH63" s="106">
        <f t="shared" si="40"/>
        <v>0.278631681166317</v>
      </c>
      <c r="AI63" s="107">
        <f t="shared" si="24"/>
        <v>0.540872043978108</v>
      </c>
      <c r="AJ63" s="105">
        <f t="shared" si="25"/>
        <v>0.746666666666667</v>
      </c>
      <c r="AK63" s="106">
        <f t="shared" si="26"/>
        <v>1.49985157095955</v>
      </c>
      <c r="AL63" s="106">
        <f t="shared" si="27"/>
        <v>0.462933333333333</v>
      </c>
      <c r="AM63" s="106">
        <f t="shared" si="41"/>
        <v>0</v>
      </c>
      <c r="AN63" s="107">
        <f t="shared" si="28"/>
        <v>0.462933333333333</v>
      </c>
      <c r="AO63" s="105">
        <f t="shared" si="42"/>
        <v>0.174826908541194</v>
      </c>
      <c r="AP63" s="106">
        <f t="shared" si="16"/>
        <v>0.108</v>
      </c>
      <c r="AQ63" s="107">
        <f t="shared" si="29"/>
        <v>0.0132</v>
      </c>
      <c r="AR63" s="105">
        <f t="shared" si="30"/>
        <v>1.29983228585264</v>
      </c>
      <c r="AS63" s="106">
        <f t="shared" si="31"/>
        <v>7.46666666666667</v>
      </c>
      <c r="AT63" s="107">
        <f t="shared" si="32"/>
        <v>85.1727320918793</v>
      </c>
    </row>
    <row r="64" spans="17:46">
      <c r="Q64">
        <v>57</v>
      </c>
      <c r="R64" s="105">
        <f t="shared" si="0"/>
        <v>10</v>
      </c>
      <c r="S64" s="106">
        <f t="shared" si="34"/>
        <v>0.76</v>
      </c>
      <c r="T64" s="106">
        <f t="shared" si="2"/>
        <v>4</v>
      </c>
      <c r="U64" s="107">
        <f t="shared" si="35"/>
        <v>1.9</v>
      </c>
      <c r="V64" s="105">
        <f t="shared" si="36"/>
        <v>2</v>
      </c>
      <c r="W64" s="106">
        <f t="shared" si="37"/>
        <v>0.714285714285714</v>
      </c>
      <c r="X64" s="107">
        <f t="shared" si="38"/>
        <v>0.285714285714286</v>
      </c>
      <c r="Y64" s="105">
        <f t="shared" si="18"/>
        <v>0.380952380952381</v>
      </c>
      <c r="Z64" s="106">
        <f t="shared" si="33"/>
        <v>3.04095238095238</v>
      </c>
      <c r="AA64" s="106">
        <f t="shared" si="19"/>
        <v>1.90317989858538</v>
      </c>
      <c r="AB64" s="106">
        <v>0</v>
      </c>
      <c r="AC64" s="106">
        <f t="shared" si="20"/>
        <v>0.0362209372637944</v>
      </c>
      <c r="AD64" s="107">
        <f t="shared" si="21"/>
        <v>0.0362209372637944</v>
      </c>
      <c r="AE64" s="105">
        <f t="shared" si="22"/>
        <v>1.03142857142857</v>
      </c>
      <c r="AF64" s="106">
        <f t="shared" si="23"/>
        <v>1.90317989858538</v>
      </c>
      <c r="AG64" s="106">
        <f t="shared" si="39"/>
        <v>0.271657029478458</v>
      </c>
      <c r="AH64" s="106">
        <f t="shared" si="40"/>
        <v>0.28360724690143</v>
      </c>
      <c r="AI64" s="107">
        <f t="shared" si="24"/>
        <v>0.555264276379888</v>
      </c>
      <c r="AJ64" s="105">
        <f t="shared" si="25"/>
        <v>0.76</v>
      </c>
      <c r="AK64" s="106">
        <f t="shared" si="26"/>
        <v>1.52477710210388</v>
      </c>
      <c r="AL64" s="106">
        <f t="shared" si="27"/>
        <v>0.4712</v>
      </c>
      <c r="AM64" s="106">
        <f t="shared" si="41"/>
        <v>0</v>
      </c>
      <c r="AN64" s="107">
        <f t="shared" si="28"/>
        <v>0.4712</v>
      </c>
      <c r="AO64" s="105">
        <f t="shared" si="42"/>
        <v>0.181104686318972</v>
      </c>
      <c r="AP64" s="106">
        <f t="shared" si="16"/>
        <v>0.108</v>
      </c>
      <c r="AQ64" s="107">
        <f t="shared" si="29"/>
        <v>0.0132</v>
      </c>
      <c r="AR64" s="105">
        <f t="shared" si="30"/>
        <v>1.32876896269886</v>
      </c>
      <c r="AS64" s="106">
        <f t="shared" si="31"/>
        <v>7.6</v>
      </c>
      <c r="AT64" s="107">
        <f t="shared" si="32"/>
        <v>85.1181168619104</v>
      </c>
    </row>
    <row r="65" spans="17:46">
      <c r="Q65">
        <v>58</v>
      </c>
      <c r="R65" s="105">
        <f t="shared" si="0"/>
        <v>10</v>
      </c>
      <c r="S65" s="106">
        <f t="shared" si="34"/>
        <v>0.773333333333333</v>
      </c>
      <c r="T65" s="106">
        <f t="shared" si="2"/>
        <v>4</v>
      </c>
      <c r="U65" s="107">
        <f t="shared" si="35"/>
        <v>1.93333333333333</v>
      </c>
      <c r="V65" s="105">
        <f t="shared" si="36"/>
        <v>2</v>
      </c>
      <c r="W65" s="106">
        <f t="shared" si="37"/>
        <v>0.714285714285714</v>
      </c>
      <c r="X65" s="107">
        <f t="shared" si="38"/>
        <v>0.285714285714286</v>
      </c>
      <c r="Y65" s="105">
        <f t="shared" si="18"/>
        <v>0.380952380952381</v>
      </c>
      <c r="Z65" s="106">
        <f t="shared" si="33"/>
        <v>3.08761904761905</v>
      </c>
      <c r="AA65" s="106">
        <f t="shared" si="19"/>
        <v>1.93645849533555</v>
      </c>
      <c r="AB65" s="106">
        <v>0</v>
      </c>
      <c r="AC65" s="106">
        <f t="shared" si="20"/>
        <v>0.0374987150415722</v>
      </c>
      <c r="AD65" s="107">
        <f t="shared" si="21"/>
        <v>0.0374987150415722</v>
      </c>
      <c r="AE65" s="105">
        <f t="shared" si="22"/>
        <v>1.06793650793651</v>
      </c>
      <c r="AF65" s="106">
        <f t="shared" si="23"/>
        <v>1.93645849533555</v>
      </c>
      <c r="AG65" s="106">
        <f t="shared" si="39"/>
        <v>0.281240362811791</v>
      </c>
      <c r="AH65" s="106">
        <f t="shared" si="40"/>
        <v>0.288582812636543</v>
      </c>
      <c r="AI65" s="107">
        <f t="shared" si="24"/>
        <v>0.569823175448334</v>
      </c>
      <c r="AJ65" s="105">
        <f t="shared" si="25"/>
        <v>0.773333333333333</v>
      </c>
      <c r="AK65" s="106">
        <f t="shared" si="26"/>
        <v>1.54970323989312</v>
      </c>
      <c r="AL65" s="106">
        <f t="shared" si="27"/>
        <v>0.479466666666667</v>
      </c>
      <c r="AM65" s="106">
        <f t="shared" si="41"/>
        <v>0</v>
      </c>
      <c r="AN65" s="107">
        <f t="shared" si="28"/>
        <v>0.479466666666667</v>
      </c>
      <c r="AO65" s="105">
        <f t="shared" si="42"/>
        <v>0.187493575207861</v>
      </c>
      <c r="AP65" s="106">
        <f t="shared" si="16"/>
        <v>0.108</v>
      </c>
      <c r="AQ65" s="107">
        <f t="shared" si="29"/>
        <v>0.0132</v>
      </c>
      <c r="AR65" s="105">
        <f t="shared" si="30"/>
        <v>1.35798341732286</v>
      </c>
      <c r="AS65" s="106">
        <f t="shared" si="31"/>
        <v>7.73333333333333</v>
      </c>
      <c r="AT65" s="107">
        <f t="shared" si="32"/>
        <v>85.0628522295756</v>
      </c>
    </row>
    <row r="66" spans="17:46">
      <c r="Q66">
        <v>59</v>
      </c>
      <c r="R66" s="105">
        <f t="shared" si="0"/>
        <v>10</v>
      </c>
      <c r="S66" s="106">
        <f t="shared" si="34"/>
        <v>0.786666666666667</v>
      </c>
      <c r="T66" s="106">
        <f t="shared" si="2"/>
        <v>4</v>
      </c>
      <c r="U66" s="107">
        <f t="shared" si="35"/>
        <v>1.96666666666667</v>
      </c>
      <c r="V66" s="105">
        <f t="shared" si="36"/>
        <v>2</v>
      </c>
      <c r="W66" s="106">
        <f t="shared" si="37"/>
        <v>0.714285714285714</v>
      </c>
      <c r="X66" s="107">
        <f t="shared" si="38"/>
        <v>0.285714285714286</v>
      </c>
      <c r="Y66" s="105">
        <f t="shared" si="18"/>
        <v>0.380952380952381</v>
      </c>
      <c r="Z66" s="106">
        <f t="shared" si="33"/>
        <v>3.13428571428571</v>
      </c>
      <c r="AA66" s="106">
        <f t="shared" si="19"/>
        <v>1.96973894314887</v>
      </c>
      <c r="AB66" s="106">
        <v>0</v>
      </c>
      <c r="AC66" s="106">
        <f t="shared" si="20"/>
        <v>0.0387987150415722</v>
      </c>
      <c r="AD66" s="107">
        <f t="shared" si="21"/>
        <v>0.0387987150415722</v>
      </c>
      <c r="AE66" s="105">
        <f t="shared" si="22"/>
        <v>1.10507936507937</v>
      </c>
      <c r="AF66" s="106">
        <f t="shared" si="23"/>
        <v>1.96973894314887</v>
      </c>
      <c r="AG66" s="106">
        <f t="shared" si="39"/>
        <v>0.290990362811791</v>
      </c>
      <c r="AH66" s="106">
        <f t="shared" si="40"/>
        <v>0.293558378371655</v>
      </c>
      <c r="AI66" s="107">
        <f t="shared" si="24"/>
        <v>0.584548741183447</v>
      </c>
      <c r="AJ66" s="105">
        <f t="shared" si="25"/>
        <v>0.786666666666667</v>
      </c>
      <c r="AK66" s="106">
        <f t="shared" si="26"/>
        <v>1.57462995551799</v>
      </c>
      <c r="AL66" s="106">
        <f t="shared" si="27"/>
        <v>0.487733333333333</v>
      </c>
      <c r="AM66" s="106">
        <f t="shared" si="41"/>
        <v>0</v>
      </c>
      <c r="AN66" s="107">
        <f t="shared" si="28"/>
        <v>0.487733333333333</v>
      </c>
      <c r="AO66" s="105">
        <f t="shared" si="42"/>
        <v>0.193993575207861</v>
      </c>
      <c r="AP66" s="106">
        <f t="shared" si="16"/>
        <v>0.108</v>
      </c>
      <c r="AQ66" s="107">
        <f t="shared" si="29"/>
        <v>0.0132</v>
      </c>
      <c r="AR66" s="105">
        <f t="shared" si="30"/>
        <v>1.38747564972464</v>
      </c>
      <c r="AS66" s="106">
        <f t="shared" si="31"/>
        <v>7.86666666666667</v>
      </c>
      <c r="AT66" s="107">
        <f t="shared" si="32"/>
        <v>85.0069773914424</v>
      </c>
    </row>
    <row r="67" spans="17:46">
      <c r="Q67">
        <v>60</v>
      </c>
      <c r="R67" s="105">
        <f t="shared" si="0"/>
        <v>10</v>
      </c>
      <c r="S67" s="106">
        <f t="shared" si="34"/>
        <v>0.8</v>
      </c>
      <c r="T67" s="106">
        <f t="shared" si="2"/>
        <v>4</v>
      </c>
      <c r="U67" s="107">
        <f t="shared" si="35"/>
        <v>2</v>
      </c>
      <c r="V67" s="105">
        <f t="shared" si="36"/>
        <v>2</v>
      </c>
      <c r="W67" s="106">
        <f t="shared" si="37"/>
        <v>0.714285714285714</v>
      </c>
      <c r="X67" s="107">
        <f t="shared" si="38"/>
        <v>0.285714285714286</v>
      </c>
      <c r="Y67" s="105">
        <f t="shared" si="18"/>
        <v>0.380952380952381</v>
      </c>
      <c r="Z67" s="106">
        <f t="shared" si="33"/>
        <v>3.18095238095238</v>
      </c>
      <c r="AA67" s="106">
        <f t="shared" si="19"/>
        <v>2.00302114975839</v>
      </c>
      <c r="AB67" s="106">
        <v>0</v>
      </c>
      <c r="AC67" s="106">
        <f t="shared" si="20"/>
        <v>0.0401209372637944</v>
      </c>
      <c r="AD67" s="107">
        <f t="shared" si="21"/>
        <v>0.0401209372637944</v>
      </c>
      <c r="AE67" s="105">
        <f t="shared" si="22"/>
        <v>1.14285714285714</v>
      </c>
      <c r="AF67" s="106">
        <f t="shared" si="23"/>
        <v>2.00302114975839</v>
      </c>
      <c r="AG67" s="106">
        <f t="shared" si="39"/>
        <v>0.300907029478458</v>
      </c>
      <c r="AH67" s="106">
        <f t="shared" si="40"/>
        <v>0.298533944106768</v>
      </c>
      <c r="AI67" s="107">
        <f t="shared" si="24"/>
        <v>0.599440973585226</v>
      </c>
      <c r="AJ67" s="105">
        <f t="shared" si="25"/>
        <v>0.8</v>
      </c>
      <c r="AK67" s="106">
        <f t="shared" si="26"/>
        <v>1.59955722196438</v>
      </c>
      <c r="AL67" s="106">
        <f t="shared" si="27"/>
        <v>0.496</v>
      </c>
      <c r="AM67" s="106">
        <f t="shared" si="41"/>
        <v>0</v>
      </c>
      <c r="AN67" s="107">
        <f t="shared" si="28"/>
        <v>0.496</v>
      </c>
      <c r="AO67" s="105">
        <f t="shared" si="42"/>
        <v>0.200604686318972</v>
      </c>
      <c r="AP67" s="106">
        <f t="shared" si="16"/>
        <v>0.108</v>
      </c>
      <c r="AQ67" s="107">
        <f t="shared" si="29"/>
        <v>0.0132</v>
      </c>
      <c r="AR67" s="105">
        <f t="shared" si="30"/>
        <v>1.4172456599042</v>
      </c>
      <c r="AS67" s="106">
        <f t="shared" si="31"/>
        <v>8</v>
      </c>
      <c r="AT67" s="107">
        <f t="shared" si="32"/>
        <v>84.9505289435275</v>
      </c>
    </row>
    <row r="68" spans="17:46">
      <c r="Q68">
        <v>61</v>
      </c>
      <c r="R68" s="105">
        <f t="shared" si="0"/>
        <v>10</v>
      </c>
      <c r="S68" s="106">
        <f t="shared" si="34"/>
        <v>0.813333333333333</v>
      </c>
      <c r="T68" s="106">
        <f t="shared" si="2"/>
        <v>4</v>
      </c>
      <c r="U68" s="107">
        <f t="shared" si="35"/>
        <v>2.03333333333333</v>
      </c>
      <c r="V68" s="105">
        <f t="shared" si="36"/>
        <v>2</v>
      </c>
      <c r="W68" s="106">
        <f t="shared" si="37"/>
        <v>0.714285714285714</v>
      </c>
      <c r="X68" s="107">
        <f t="shared" si="38"/>
        <v>0.285714285714286</v>
      </c>
      <c r="Y68" s="105">
        <f t="shared" si="18"/>
        <v>0.380952380952381</v>
      </c>
      <c r="Z68" s="106">
        <f t="shared" si="33"/>
        <v>3.22761904761905</v>
      </c>
      <c r="AA68" s="106">
        <f t="shared" si="19"/>
        <v>2.03630502892467</v>
      </c>
      <c r="AB68" s="106">
        <v>0</v>
      </c>
      <c r="AC68" s="106">
        <f t="shared" si="20"/>
        <v>0.0414653817082388</v>
      </c>
      <c r="AD68" s="107">
        <f t="shared" si="21"/>
        <v>0.0414653817082388</v>
      </c>
      <c r="AE68" s="105">
        <f t="shared" si="22"/>
        <v>1.18126984126984</v>
      </c>
      <c r="AF68" s="106">
        <f t="shared" si="23"/>
        <v>2.03630502892467</v>
      </c>
      <c r="AG68" s="106">
        <f t="shared" si="39"/>
        <v>0.310990362811791</v>
      </c>
      <c r="AH68" s="106">
        <f t="shared" si="40"/>
        <v>0.303509509841881</v>
      </c>
      <c r="AI68" s="107">
        <f t="shared" si="24"/>
        <v>0.614499872653672</v>
      </c>
      <c r="AJ68" s="105">
        <f t="shared" si="25"/>
        <v>0.813333333333333</v>
      </c>
      <c r="AK68" s="106">
        <f t="shared" si="26"/>
        <v>1.62448501387568</v>
      </c>
      <c r="AL68" s="106">
        <f t="shared" si="27"/>
        <v>0.504266666666667</v>
      </c>
      <c r="AM68" s="106">
        <f t="shared" si="41"/>
        <v>0</v>
      </c>
      <c r="AN68" s="107">
        <f t="shared" si="28"/>
        <v>0.504266666666667</v>
      </c>
      <c r="AO68" s="105">
        <f t="shared" si="42"/>
        <v>0.207326908541194</v>
      </c>
      <c r="AP68" s="106">
        <f t="shared" si="16"/>
        <v>0.108</v>
      </c>
      <c r="AQ68" s="107">
        <f t="shared" si="29"/>
        <v>0.0132</v>
      </c>
      <c r="AR68" s="105">
        <f t="shared" si="30"/>
        <v>1.44729344786153</v>
      </c>
      <c r="AS68" s="106">
        <f t="shared" si="31"/>
        <v>8.13333333333333</v>
      </c>
      <c r="AT68" s="107">
        <f t="shared" si="32"/>
        <v>84.8935410916713</v>
      </c>
    </row>
    <row r="69" spans="17:46">
      <c r="Q69">
        <v>62</v>
      </c>
      <c r="R69" s="105">
        <f t="shared" si="0"/>
        <v>10</v>
      </c>
      <c r="S69" s="106">
        <f t="shared" si="34"/>
        <v>0.826666666666667</v>
      </c>
      <c r="T69" s="106">
        <f t="shared" si="2"/>
        <v>4</v>
      </c>
      <c r="U69" s="107">
        <f t="shared" si="35"/>
        <v>2.06666666666667</v>
      </c>
      <c r="V69" s="105">
        <f t="shared" si="36"/>
        <v>2</v>
      </c>
      <c r="W69" s="106">
        <f t="shared" si="37"/>
        <v>0.714285714285714</v>
      </c>
      <c r="X69" s="107">
        <f t="shared" si="38"/>
        <v>0.285714285714286</v>
      </c>
      <c r="Y69" s="105">
        <f t="shared" si="18"/>
        <v>0.380952380952381</v>
      </c>
      <c r="Z69" s="106">
        <f t="shared" si="33"/>
        <v>3.27428571428571</v>
      </c>
      <c r="AA69" s="106">
        <f t="shared" si="19"/>
        <v>2.06959049995175</v>
      </c>
      <c r="AB69" s="106">
        <v>0</v>
      </c>
      <c r="AC69" s="106">
        <f t="shared" si="20"/>
        <v>0.0428320483749055</v>
      </c>
      <c r="AD69" s="107">
        <f t="shared" si="21"/>
        <v>0.0428320483749055</v>
      </c>
      <c r="AE69" s="105">
        <f t="shared" si="22"/>
        <v>1.22031746031746</v>
      </c>
      <c r="AF69" s="106">
        <f t="shared" si="23"/>
        <v>2.06959049995175</v>
      </c>
      <c r="AG69" s="106">
        <f t="shared" si="39"/>
        <v>0.321240362811791</v>
      </c>
      <c r="AH69" s="106">
        <f t="shared" si="40"/>
        <v>0.308485075576994</v>
      </c>
      <c r="AI69" s="107">
        <f t="shared" si="24"/>
        <v>0.629725438388785</v>
      </c>
      <c r="AJ69" s="105">
        <f t="shared" si="25"/>
        <v>0.826666666666667</v>
      </c>
      <c r="AK69" s="106">
        <f t="shared" si="26"/>
        <v>1.64941330742763</v>
      </c>
      <c r="AL69" s="106">
        <f t="shared" si="27"/>
        <v>0.512533333333333</v>
      </c>
      <c r="AM69" s="106">
        <f t="shared" si="41"/>
        <v>0</v>
      </c>
      <c r="AN69" s="107">
        <f t="shared" si="28"/>
        <v>0.512533333333333</v>
      </c>
      <c r="AO69" s="105">
        <f t="shared" si="42"/>
        <v>0.214160241874528</v>
      </c>
      <c r="AP69" s="106">
        <f t="shared" si="16"/>
        <v>0.108</v>
      </c>
      <c r="AQ69" s="107">
        <f t="shared" si="29"/>
        <v>0.0132</v>
      </c>
      <c r="AR69" s="105">
        <f t="shared" si="30"/>
        <v>1.47761901359665</v>
      </c>
      <c r="AS69" s="106">
        <f t="shared" si="31"/>
        <v>8.26666666666667</v>
      </c>
      <c r="AT69" s="107">
        <f t="shared" si="32"/>
        <v>84.836045841826</v>
      </c>
    </row>
    <row r="70" spans="17:46">
      <c r="Q70">
        <v>63</v>
      </c>
      <c r="R70" s="105">
        <f t="shared" si="0"/>
        <v>10</v>
      </c>
      <c r="S70" s="106">
        <f t="shared" si="34"/>
        <v>0.84</v>
      </c>
      <c r="T70" s="106">
        <f t="shared" si="2"/>
        <v>4</v>
      </c>
      <c r="U70" s="107">
        <f t="shared" si="35"/>
        <v>2.1</v>
      </c>
      <c r="V70" s="105">
        <f t="shared" si="36"/>
        <v>2</v>
      </c>
      <c r="W70" s="106">
        <f t="shared" si="37"/>
        <v>0.714285714285714</v>
      </c>
      <c r="X70" s="107">
        <f t="shared" si="38"/>
        <v>0.285714285714286</v>
      </c>
      <c r="Y70" s="105">
        <f t="shared" si="18"/>
        <v>0.380952380952381</v>
      </c>
      <c r="Z70" s="106">
        <f t="shared" si="33"/>
        <v>3.32095238095238</v>
      </c>
      <c r="AA70" s="106">
        <f t="shared" si="19"/>
        <v>2.10287748724918</v>
      </c>
      <c r="AB70" s="106">
        <v>0</v>
      </c>
      <c r="AC70" s="106">
        <f t="shared" si="20"/>
        <v>0.0442209372637944</v>
      </c>
      <c r="AD70" s="107">
        <f t="shared" si="21"/>
        <v>0.0442209372637944</v>
      </c>
      <c r="AE70" s="105">
        <f t="shared" si="22"/>
        <v>1.26</v>
      </c>
      <c r="AF70" s="106">
        <f t="shared" si="23"/>
        <v>2.10287748724918</v>
      </c>
      <c r="AG70" s="106">
        <f t="shared" si="39"/>
        <v>0.331657029478458</v>
      </c>
      <c r="AH70" s="106">
        <f t="shared" si="40"/>
        <v>0.313460641312107</v>
      </c>
      <c r="AI70" s="107">
        <f t="shared" si="24"/>
        <v>0.645117670790565</v>
      </c>
      <c r="AJ70" s="105">
        <f t="shared" si="25"/>
        <v>0.84</v>
      </c>
      <c r="AK70" s="106">
        <f t="shared" si="26"/>
        <v>1.67434208021435</v>
      </c>
      <c r="AL70" s="106">
        <f t="shared" si="27"/>
        <v>0.5208</v>
      </c>
      <c r="AM70" s="106">
        <f t="shared" si="41"/>
        <v>0</v>
      </c>
      <c r="AN70" s="107">
        <f t="shared" si="28"/>
        <v>0.5208</v>
      </c>
      <c r="AO70" s="105">
        <f t="shared" si="42"/>
        <v>0.221104686318972</v>
      </c>
      <c r="AP70" s="106">
        <f t="shared" si="16"/>
        <v>0.108</v>
      </c>
      <c r="AQ70" s="107">
        <f t="shared" si="29"/>
        <v>0.0132</v>
      </c>
      <c r="AR70" s="105">
        <f t="shared" si="30"/>
        <v>1.50822235710954</v>
      </c>
      <c r="AS70" s="106">
        <f t="shared" si="31"/>
        <v>8.4</v>
      </c>
      <c r="AT70" s="107">
        <f t="shared" si="32"/>
        <v>84.7780731724563</v>
      </c>
    </row>
    <row r="71" spans="17:46">
      <c r="Q71">
        <v>64</v>
      </c>
      <c r="R71" s="105">
        <f t="shared" ref="R71:R134" si="43">VOUT</f>
        <v>10</v>
      </c>
      <c r="S71" s="106">
        <f t="shared" ref="S71:S102" si="44">Q71*$O$12</f>
        <v>0.853333333333333</v>
      </c>
      <c r="T71" s="106">
        <f t="shared" ref="T71:T134" si="45">VIN_var</f>
        <v>4</v>
      </c>
      <c r="U71" s="107">
        <f t="shared" ref="U71:U102" si="46">(R71*S71)/(T71*EFF_est)</f>
        <v>2.13333333333333</v>
      </c>
      <c r="V71" s="105">
        <f t="shared" ref="V71:V102" si="47">IF(S71&lt;((T71^2)*R71)/(2*Fsw*Lm*((T71+R71)^2)),1,2)</f>
        <v>2</v>
      </c>
      <c r="W71" s="106">
        <f t="shared" ref="W71:W102" si="48">CHOOSE(V71,SQRT(2*Lm*R71*S71*Fsw)/T71,R71/(T71+R71))</f>
        <v>0.714285714285714</v>
      </c>
      <c r="X71" s="107">
        <f t="shared" ref="X71:X102" si="49">CHOOSE(V71,(Lm*Z71*Fsw)/(R71),1-W71)</f>
        <v>0.285714285714286</v>
      </c>
      <c r="Y71" s="105">
        <f t="shared" si="18"/>
        <v>0.380952380952381</v>
      </c>
      <c r="Z71" s="106">
        <f t="shared" si="33"/>
        <v>3.36761904761905</v>
      </c>
      <c r="AA71" s="106">
        <f t="shared" si="19"/>
        <v>2.13616591993472</v>
      </c>
      <c r="AB71" s="106">
        <v>0</v>
      </c>
      <c r="AC71" s="106">
        <f t="shared" si="20"/>
        <v>0.0456320483749055</v>
      </c>
      <c r="AD71" s="107">
        <f t="shared" si="21"/>
        <v>0.0456320483749055</v>
      </c>
      <c r="AE71" s="105">
        <f t="shared" si="22"/>
        <v>1.30031746031746</v>
      </c>
      <c r="AF71" s="106">
        <f t="shared" si="23"/>
        <v>2.13616591993472</v>
      </c>
      <c r="AG71" s="106">
        <f t="shared" ref="AG71:AG102" si="50">(AF71^2)*RDS_on</f>
        <v>0.342240362811791</v>
      </c>
      <c r="AH71" s="106">
        <f t="shared" ref="AH71:AH102" si="51">(((R71+T71)*(U71+S71))/2)*Fsw*(tr_sw+tf_sw)</f>
        <v>0.318436207047219</v>
      </c>
      <c r="AI71" s="107">
        <f t="shared" si="24"/>
        <v>0.660676569859011</v>
      </c>
      <c r="AJ71" s="105">
        <f t="shared" si="25"/>
        <v>0.853333333333333</v>
      </c>
      <c r="AK71" s="106">
        <f t="shared" si="26"/>
        <v>1.69927131114431</v>
      </c>
      <c r="AL71" s="106">
        <f t="shared" si="27"/>
        <v>0.529066666666667</v>
      </c>
      <c r="AM71" s="106">
        <f t="shared" ref="AM71:AM102" si="52">(R71+T71+Vd_rect)*Qrr*Fsw</f>
        <v>0</v>
      </c>
      <c r="AN71" s="107">
        <f t="shared" si="28"/>
        <v>0.529066666666667</v>
      </c>
      <c r="AO71" s="105">
        <f t="shared" ref="AO71:AO102" si="53">(AF71^2)*R_cs</f>
        <v>0.228160241874528</v>
      </c>
      <c r="AP71" s="106">
        <f t="shared" ref="AP71:AP134" si="54">Qg_tot*Vcc*Fsw</f>
        <v>0.108</v>
      </c>
      <c r="AQ71" s="107">
        <f t="shared" si="29"/>
        <v>0.0132</v>
      </c>
      <c r="AR71" s="105">
        <f t="shared" si="30"/>
        <v>1.53910347840021</v>
      </c>
      <c r="AS71" s="106">
        <f t="shared" si="31"/>
        <v>8.53333333333333</v>
      </c>
      <c r="AT71" s="107">
        <f t="shared" si="32"/>
        <v>84.7196511909881</v>
      </c>
    </row>
    <row r="72" spans="17:46">
      <c r="Q72">
        <v>65</v>
      </c>
      <c r="R72" s="105">
        <f t="shared" si="43"/>
        <v>10</v>
      </c>
      <c r="S72" s="106">
        <f t="shared" si="44"/>
        <v>0.866666666666667</v>
      </c>
      <c r="T72" s="106">
        <f t="shared" si="45"/>
        <v>4</v>
      </c>
      <c r="U72" s="107">
        <f t="shared" si="46"/>
        <v>2.16666666666667</v>
      </c>
      <c r="V72" s="105">
        <f t="shared" si="47"/>
        <v>2</v>
      </c>
      <c r="W72" s="106">
        <f t="shared" si="48"/>
        <v>0.714285714285714</v>
      </c>
      <c r="X72" s="107">
        <f t="shared" si="49"/>
        <v>0.285714285714286</v>
      </c>
      <c r="Y72" s="105">
        <f t="shared" ref="Y72:Y135" si="55">(T72*W72)/(Lm*Fsw)</f>
        <v>0.380952380952381</v>
      </c>
      <c r="Z72" s="106">
        <f t="shared" ref="Z72:Z135" si="56">CHOOSE(V72,Y72,U72+S72+(Y72))</f>
        <v>3.41428571428571</v>
      </c>
      <c r="AA72" s="106">
        <f t="shared" ref="AA72:AA135" si="57">CHOOSE(V72,Z72*SQRT((W72+X72)/3),SQRT((U72^2)+((Y72^2)/12)))</f>
        <v>2.16945573147365</v>
      </c>
      <c r="AB72" s="106">
        <v>0</v>
      </c>
      <c r="AC72" s="106">
        <f t="shared" ref="AC72:AC135" si="58">(AA72^2)*Rdcr</f>
        <v>0.0470653817082389</v>
      </c>
      <c r="AD72" s="107">
        <f t="shared" ref="AD72:AD135" si="59">AB72+AC72</f>
        <v>0.0470653817082389</v>
      </c>
      <c r="AE72" s="105">
        <f t="shared" ref="AE72:AE135" si="60">U72*S72*W72</f>
        <v>1.34126984126984</v>
      </c>
      <c r="AF72" s="106">
        <f t="shared" ref="AF72:AF135" si="61">AA72</f>
        <v>2.16945573147365</v>
      </c>
      <c r="AG72" s="106">
        <f t="shared" si="50"/>
        <v>0.352990362811791</v>
      </c>
      <c r="AH72" s="106">
        <f t="shared" si="51"/>
        <v>0.323411772782332</v>
      </c>
      <c r="AI72" s="107">
        <f t="shared" ref="AI72:AI135" si="62">AG72+AH72</f>
        <v>0.676402135594124</v>
      </c>
      <c r="AJ72" s="105">
        <f t="shared" ref="AJ72:AJ135" si="63">S72</f>
        <v>0.866666666666667</v>
      </c>
      <c r="AK72" s="106">
        <f t="shared" ref="AK72:AK135" si="64">CHOOSE(V72,Z72*SQRT(X72/3),SQRT(X72*((Z72^2)+((Y72^2)/3)-(Y72*Z72))))</f>
        <v>1.72420098034542</v>
      </c>
      <c r="AL72" s="106">
        <f t="shared" ref="AL72:AL135" si="65">S72*Vd_rect</f>
        <v>0.537333333333333</v>
      </c>
      <c r="AM72" s="106">
        <f t="shared" si="52"/>
        <v>0</v>
      </c>
      <c r="AN72" s="107">
        <f t="shared" ref="AN72:AN135" si="66">AL72+AM72</f>
        <v>0.537333333333333</v>
      </c>
      <c r="AO72" s="105">
        <f t="shared" si="53"/>
        <v>0.235326908541194</v>
      </c>
      <c r="AP72" s="106">
        <f t="shared" si="54"/>
        <v>0.108</v>
      </c>
      <c r="AQ72" s="107">
        <f t="shared" ref="AQ72:AQ135" si="67">IQ*T72</f>
        <v>0.0132</v>
      </c>
      <c r="AR72" s="105">
        <f t="shared" ref="AR72:AR135" si="68">AO72+AN72+AI72+AP72+AQ72</f>
        <v>1.57026237746865</v>
      </c>
      <c r="AS72" s="106">
        <f t="shared" ref="AS72:AS135" si="69">R72*S72</f>
        <v>8.66666666666667</v>
      </c>
      <c r="AT72" s="107">
        <f t="shared" ref="AT72:AT135" si="70">(AS72/(AS72+AR72))*100</f>
        <v>84.6608062759969</v>
      </c>
    </row>
    <row r="73" spans="17:46">
      <c r="Q73">
        <v>66</v>
      </c>
      <c r="R73" s="105">
        <f t="shared" si="43"/>
        <v>10</v>
      </c>
      <c r="S73" s="106">
        <f t="shared" si="44"/>
        <v>0.88</v>
      </c>
      <c r="T73" s="106">
        <f t="shared" si="45"/>
        <v>4</v>
      </c>
      <c r="U73" s="107">
        <f t="shared" si="46"/>
        <v>2.2</v>
      </c>
      <c r="V73" s="105">
        <f t="shared" si="47"/>
        <v>2</v>
      </c>
      <c r="W73" s="106">
        <f t="shared" si="48"/>
        <v>0.714285714285714</v>
      </c>
      <c r="X73" s="107">
        <f t="shared" si="49"/>
        <v>0.285714285714286</v>
      </c>
      <c r="Y73" s="105">
        <f t="shared" si="55"/>
        <v>0.380952380952381</v>
      </c>
      <c r="Z73" s="106">
        <f t="shared" si="56"/>
        <v>3.46095238095238</v>
      </c>
      <c r="AA73" s="106">
        <f t="shared" si="57"/>
        <v>2.20274685935072</v>
      </c>
      <c r="AB73" s="106">
        <v>0</v>
      </c>
      <c r="AC73" s="106">
        <f t="shared" si="58"/>
        <v>0.0485209372637944</v>
      </c>
      <c r="AD73" s="107">
        <f t="shared" si="59"/>
        <v>0.0485209372637944</v>
      </c>
      <c r="AE73" s="105">
        <f t="shared" si="60"/>
        <v>1.38285714285714</v>
      </c>
      <c r="AF73" s="106">
        <f t="shared" si="61"/>
        <v>2.20274685935072</v>
      </c>
      <c r="AG73" s="106">
        <f t="shared" si="50"/>
        <v>0.363907029478458</v>
      </c>
      <c r="AH73" s="106">
        <f t="shared" si="51"/>
        <v>0.328387338517445</v>
      </c>
      <c r="AI73" s="107">
        <f t="shared" si="62"/>
        <v>0.692294367995903</v>
      </c>
      <c r="AJ73" s="105">
        <f t="shared" si="63"/>
        <v>0.88</v>
      </c>
      <c r="AK73" s="106">
        <f t="shared" si="64"/>
        <v>1.74913106907819</v>
      </c>
      <c r="AL73" s="106">
        <f t="shared" si="65"/>
        <v>0.5456</v>
      </c>
      <c r="AM73" s="106">
        <f t="shared" si="52"/>
        <v>0</v>
      </c>
      <c r="AN73" s="107">
        <f t="shared" si="66"/>
        <v>0.5456</v>
      </c>
      <c r="AO73" s="105">
        <f t="shared" si="53"/>
        <v>0.242604686318972</v>
      </c>
      <c r="AP73" s="106">
        <f t="shared" si="54"/>
        <v>0.108</v>
      </c>
      <c r="AQ73" s="107">
        <f t="shared" si="67"/>
        <v>0.0132</v>
      </c>
      <c r="AR73" s="105">
        <f t="shared" si="68"/>
        <v>1.60169905431488</v>
      </c>
      <c r="AS73" s="106">
        <f t="shared" si="69"/>
        <v>8.8</v>
      </c>
      <c r="AT73" s="107">
        <f t="shared" si="70"/>
        <v>84.6015632066335</v>
      </c>
    </row>
    <row r="74" spans="17:46">
      <c r="Q74">
        <v>67</v>
      </c>
      <c r="R74" s="105">
        <f t="shared" si="43"/>
        <v>10</v>
      </c>
      <c r="S74" s="106">
        <f t="shared" si="44"/>
        <v>0.893333333333333</v>
      </c>
      <c r="T74" s="106">
        <f t="shared" si="45"/>
        <v>4</v>
      </c>
      <c r="U74" s="107">
        <f t="shared" si="46"/>
        <v>2.23333333333333</v>
      </c>
      <c r="V74" s="105">
        <f t="shared" si="47"/>
        <v>2</v>
      </c>
      <c r="W74" s="106">
        <f t="shared" si="48"/>
        <v>0.714285714285714</v>
      </c>
      <c r="X74" s="107">
        <f t="shared" si="49"/>
        <v>0.285714285714286</v>
      </c>
      <c r="Y74" s="105">
        <f t="shared" si="55"/>
        <v>0.380952380952381</v>
      </c>
      <c r="Z74" s="106">
        <f t="shared" si="56"/>
        <v>3.50761904761905</v>
      </c>
      <c r="AA74" s="106">
        <f t="shared" si="57"/>
        <v>2.23603924477126</v>
      </c>
      <c r="AB74" s="106">
        <v>0</v>
      </c>
      <c r="AC74" s="106">
        <f t="shared" si="58"/>
        <v>0.0499987150415722</v>
      </c>
      <c r="AD74" s="107">
        <f t="shared" si="59"/>
        <v>0.0499987150415722</v>
      </c>
      <c r="AE74" s="105">
        <f t="shared" si="60"/>
        <v>1.42507936507937</v>
      </c>
      <c r="AF74" s="106">
        <f t="shared" si="61"/>
        <v>2.23603924477126</v>
      </c>
      <c r="AG74" s="106">
        <f t="shared" si="50"/>
        <v>0.374990362811791</v>
      </c>
      <c r="AH74" s="106">
        <f t="shared" si="51"/>
        <v>0.333362904252558</v>
      </c>
      <c r="AI74" s="107">
        <f t="shared" si="62"/>
        <v>0.708353267064349</v>
      </c>
      <c r="AJ74" s="105">
        <f t="shared" si="63"/>
        <v>0.893333333333333</v>
      </c>
      <c r="AK74" s="106">
        <f t="shared" si="64"/>
        <v>1.77406155965612</v>
      </c>
      <c r="AL74" s="106">
        <f t="shared" si="65"/>
        <v>0.553866666666667</v>
      </c>
      <c r="AM74" s="106">
        <f t="shared" si="52"/>
        <v>0</v>
      </c>
      <c r="AN74" s="107">
        <f t="shared" si="66"/>
        <v>0.553866666666667</v>
      </c>
      <c r="AO74" s="105">
        <f t="shared" si="53"/>
        <v>0.249993575207861</v>
      </c>
      <c r="AP74" s="106">
        <f t="shared" si="54"/>
        <v>0.108</v>
      </c>
      <c r="AQ74" s="107">
        <f t="shared" si="67"/>
        <v>0.0132</v>
      </c>
      <c r="AR74" s="105">
        <f t="shared" si="68"/>
        <v>1.63341350893888</v>
      </c>
      <c r="AS74" s="106">
        <f t="shared" si="69"/>
        <v>8.93333333333333</v>
      </c>
      <c r="AT74" s="107">
        <f t="shared" si="70"/>
        <v>84.5419452806003</v>
      </c>
    </row>
    <row r="75" spans="17:46">
      <c r="Q75">
        <v>68</v>
      </c>
      <c r="R75" s="105">
        <f t="shared" si="43"/>
        <v>10</v>
      </c>
      <c r="S75" s="106">
        <f t="shared" si="44"/>
        <v>0.906666666666667</v>
      </c>
      <c r="T75" s="106">
        <f t="shared" si="45"/>
        <v>4</v>
      </c>
      <c r="U75" s="107">
        <f t="shared" si="46"/>
        <v>2.26666666666667</v>
      </c>
      <c r="V75" s="105">
        <f t="shared" si="47"/>
        <v>2</v>
      </c>
      <c r="W75" s="106">
        <f t="shared" si="48"/>
        <v>0.714285714285714</v>
      </c>
      <c r="X75" s="107">
        <f t="shared" si="49"/>
        <v>0.285714285714286</v>
      </c>
      <c r="Y75" s="105">
        <f t="shared" si="55"/>
        <v>0.380952380952381</v>
      </c>
      <c r="Z75" s="106">
        <f t="shared" si="56"/>
        <v>3.55428571428571</v>
      </c>
      <c r="AA75" s="106">
        <f t="shared" si="57"/>
        <v>2.26933283238868</v>
      </c>
      <c r="AB75" s="106">
        <v>0</v>
      </c>
      <c r="AC75" s="106">
        <f t="shared" si="58"/>
        <v>0.0514987150415722</v>
      </c>
      <c r="AD75" s="107">
        <f t="shared" si="59"/>
        <v>0.0514987150415722</v>
      </c>
      <c r="AE75" s="105">
        <f t="shared" si="60"/>
        <v>1.46793650793651</v>
      </c>
      <c r="AF75" s="106">
        <f t="shared" si="61"/>
        <v>2.26933283238868</v>
      </c>
      <c r="AG75" s="106">
        <f t="shared" si="50"/>
        <v>0.386240362811791</v>
      </c>
      <c r="AH75" s="106">
        <f t="shared" si="51"/>
        <v>0.338338469987671</v>
      </c>
      <c r="AI75" s="107">
        <f t="shared" si="62"/>
        <v>0.724578832799462</v>
      </c>
      <c r="AJ75" s="105">
        <f t="shared" si="63"/>
        <v>0.906666666666667</v>
      </c>
      <c r="AK75" s="106">
        <f t="shared" si="64"/>
        <v>1.79899243537289</v>
      </c>
      <c r="AL75" s="106">
        <f t="shared" si="65"/>
        <v>0.562133333333333</v>
      </c>
      <c r="AM75" s="106">
        <f t="shared" si="52"/>
        <v>0</v>
      </c>
      <c r="AN75" s="107">
        <f t="shared" si="66"/>
        <v>0.562133333333333</v>
      </c>
      <c r="AO75" s="105">
        <f t="shared" si="53"/>
        <v>0.257493575207861</v>
      </c>
      <c r="AP75" s="106">
        <f t="shared" si="54"/>
        <v>0.108</v>
      </c>
      <c r="AQ75" s="107">
        <f t="shared" si="67"/>
        <v>0.0132</v>
      </c>
      <c r="AR75" s="105">
        <f t="shared" si="68"/>
        <v>1.66540574134066</v>
      </c>
      <c r="AS75" s="106">
        <f t="shared" si="69"/>
        <v>9.06666666666667</v>
      </c>
      <c r="AT75" s="107">
        <f t="shared" si="70"/>
        <v>84.4819744218453</v>
      </c>
    </row>
    <row r="76" spans="17:46">
      <c r="Q76">
        <v>69</v>
      </c>
      <c r="R76" s="105">
        <f t="shared" si="43"/>
        <v>10</v>
      </c>
      <c r="S76" s="106">
        <f t="shared" si="44"/>
        <v>0.92</v>
      </c>
      <c r="T76" s="106">
        <f t="shared" si="45"/>
        <v>4</v>
      </c>
      <c r="U76" s="107">
        <f t="shared" si="46"/>
        <v>2.3</v>
      </c>
      <c r="V76" s="105">
        <f t="shared" si="47"/>
        <v>2</v>
      </c>
      <c r="W76" s="106">
        <f t="shared" si="48"/>
        <v>0.714285714285714</v>
      </c>
      <c r="X76" s="107">
        <f t="shared" si="49"/>
        <v>0.285714285714286</v>
      </c>
      <c r="Y76" s="105">
        <f t="shared" si="55"/>
        <v>0.380952380952381</v>
      </c>
      <c r="Z76" s="106">
        <f t="shared" si="56"/>
        <v>3.60095238095238</v>
      </c>
      <c r="AA76" s="106">
        <f t="shared" si="57"/>
        <v>2.30262757005544</v>
      </c>
      <c r="AB76" s="106">
        <v>0</v>
      </c>
      <c r="AC76" s="106">
        <f t="shared" si="58"/>
        <v>0.0530209372637944</v>
      </c>
      <c r="AD76" s="107">
        <f t="shared" si="59"/>
        <v>0.0530209372637944</v>
      </c>
      <c r="AE76" s="105">
        <f t="shared" si="60"/>
        <v>1.51142857142857</v>
      </c>
      <c r="AF76" s="106">
        <f t="shared" si="61"/>
        <v>2.30262757005544</v>
      </c>
      <c r="AG76" s="106">
        <f t="shared" si="50"/>
        <v>0.397657029478458</v>
      </c>
      <c r="AH76" s="106">
        <f t="shared" si="51"/>
        <v>0.343314035722784</v>
      </c>
      <c r="AI76" s="107">
        <f t="shared" si="62"/>
        <v>0.740971065201242</v>
      </c>
      <c r="AJ76" s="105">
        <f t="shared" si="63"/>
        <v>0.92</v>
      </c>
      <c r="AK76" s="106">
        <f t="shared" si="64"/>
        <v>1.82392368043531</v>
      </c>
      <c r="AL76" s="106">
        <f t="shared" si="65"/>
        <v>0.5704</v>
      </c>
      <c r="AM76" s="106">
        <f t="shared" si="52"/>
        <v>0</v>
      </c>
      <c r="AN76" s="107">
        <f t="shared" si="66"/>
        <v>0.5704</v>
      </c>
      <c r="AO76" s="105">
        <f t="shared" si="53"/>
        <v>0.265104686318972</v>
      </c>
      <c r="AP76" s="106">
        <f t="shared" si="54"/>
        <v>0.108</v>
      </c>
      <c r="AQ76" s="107">
        <f t="shared" si="67"/>
        <v>0.0132</v>
      </c>
      <c r="AR76" s="105">
        <f t="shared" si="68"/>
        <v>1.69767575152021</v>
      </c>
      <c r="AS76" s="106">
        <f t="shared" si="69"/>
        <v>9.2</v>
      </c>
      <c r="AT76" s="107">
        <f t="shared" si="70"/>
        <v>84.4216712790029</v>
      </c>
    </row>
    <row r="77" spans="17:46">
      <c r="Q77">
        <v>70</v>
      </c>
      <c r="R77" s="105">
        <f t="shared" si="43"/>
        <v>10</v>
      </c>
      <c r="S77" s="106">
        <f t="shared" si="44"/>
        <v>0.933333333333333</v>
      </c>
      <c r="T77" s="106">
        <f t="shared" si="45"/>
        <v>4</v>
      </c>
      <c r="U77" s="107">
        <f t="shared" si="46"/>
        <v>2.33333333333333</v>
      </c>
      <c r="V77" s="105">
        <f t="shared" si="47"/>
        <v>2</v>
      </c>
      <c r="W77" s="106">
        <f t="shared" si="48"/>
        <v>0.714285714285714</v>
      </c>
      <c r="X77" s="107">
        <f t="shared" si="49"/>
        <v>0.285714285714286</v>
      </c>
      <c r="Y77" s="105">
        <f t="shared" si="55"/>
        <v>0.380952380952381</v>
      </c>
      <c r="Z77" s="106">
        <f t="shared" si="56"/>
        <v>3.64761904761905</v>
      </c>
      <c r="AA77" s="106">
        <f t="shared" si="57"/>
        <v>2.33592340859539</v>
      </c>
      <c r="AB77" s="106">
        <v>0</v>
      </c>
      <c r="AC77" s="106">
        <f t="shared" si="58"/>
        <v>0.0545653817082389</v>
      </c>
      <c r="AD77" s="107">
        <f t="shared" si="59"/>
        <v>0.0545653817082389</v>
      </c>
      <c r="AE77" s="105">
        <f t="shared" si="60"/>
        <v>1.55555555555556</v>
      </c>
      <c r="AF77" s="106">
        <f t="shared" si="61"/>
        <v>2.33592340859539</v>
      </c>
      <c r="AG77" s="106">
        <f t="shared" si="50"/>
        <v>0.409240362811791</v>
      </c>
      <c r="AH77" s="106">
        <f t="shared" si="51"/>
        <v>0.348289601457896</v>
      </c>
      <c r="AI77" s="107">
        <f t="shared" si="62"/>
        <v>0.757529964269688</v>
      </c>
      <c r="AJ77" s="105">
        <f t="shared" si="63"/>
        <v>0.933333333333333</v>
      </c>
      <c r="AK77" s="106">
        <f t="shared" si="64"/>
        <v>1.84885527990185</v>
      </c>
      <c r="AL77" s="106">
        <f t="shared" si="65"/>
        <v>0.578666666666667</v>
      </c>
      <c r="AM77" s="106">
        <f t="shared" si="52"/>
        <v>0</v>
      </c>
      <c r="AN77" s="107">
        <f t="shared" si="66"/>
        <v>0.578666666666667</v>
      </c>
      <c r="AO77" s="105">
        <f t="shared" si="53"/>
        <v>0.272826908541194</v>
      </c>
      <c r="AP77" s="106">
        <f t="shared" si="54"/>
        <v>0.108</v>
      </c>
      <c r="AQ77" s="107">
        <f t="shared" si="67"/>
        <v>0.0132</v>
      </c>
      <c r="AR77" s="105">
        <f t="shared" si="68"/>
        <v>1.73022353947755</v>
      </c>
      <c r="AS77" s="106">
        <f t="shared" si="69"/>
        <v>9.33333333333333</v>
      </c>
      <c r="AT77" s="107">
        <f t="shared" si="70"/>
        <v>84.3610553154959</v>
      </c>
    </row>
    <row r="78" spans="17:46">
      <c r="Q78">
        <v>71</v>
      </c>
      <c r="R78" s="105">
        <f t="shared" si="43"/>
        <v>10</v>
      </c>
      <c r="S78" s="106">
        <f t="shared" si="44"/>
        <v>0.946666666666667</v>
      </c>
      <c r="T78" s="106">
        <f t="shared" si="45"/>
        <v>4</v>
      </c>
      <c r="U78" s="107">
        <f t="shared" si="46"/>
        <v>2.36666666666667</v>
      </c>
      <c r="V78" s="105">
        <f t="shared" si="47"/>
        <v>2</v>
      </c>
      <c r="W78" s="106">
        <f t="shared" si="48"/>
        <v>0.714285714285714</v>
      </c>
      <c r="X78" s="107">
        <f t="shared" si="49"/>
        <v>0.285714285714286</v>
      </c>
      <c r="Y78" s="105">
        <f t="shared" si="55"/>
        <v>0.380952380952381</v>
      </c>
      <c r="Z78" s="106">
        <f t="shared" si="56"/>
        <v>3.69428571428571</v>
      </c>
      <c r="AA78" s="106">
        <f t="shared" si="57"/>
        <v>2.36922030159514</v>
      </c>
      <c r="AB78" s="106">
        <v>0</v>
      </c>
      <c r="AC78" s="106">
        <f t="shared" si="58"/>
        <v>0.0561320483749055</v>
      </c>
      <c r="AD78" s="107">
        <f t="shared" si="59"/>
        <v>0.0561320483749055</v>
      </c>
      <c r="AE78" s="105">
        <f t="shared" si="60"/>
        <v>1.60031746031746</v>
      </c>
      <c r="AF78" s="106">
        <f t="shared" si="61"/>
        <v>2.36922030159514</v>
      </c>
      <c r="AG78" s="106">
        <f t="shared" si="50"/>
        <v>0.420990362811791</v>
      </c>
      <c r="AH78" s="106">
        <f t="shared" si="51"/>
        <v>0.353265167193009</v>
      </c>
      <c r="AI78" s="107">
        <f t="shared" si="62"/>
        <v>0.774255530004801</v>
      </c>
      <c r="AJ78" s="105">
        <f t="shared" si="63"/>
        <v>0.946666666666667</v>
      </c>
      <c r="AK78" s="106">
        <f t="shared" si="64"/>
        <v>1.87378721962598</v>
      </c>
      <c r="AL78" s="106">
        <f t="shared" si="65"/>
        <v>0.586933333333333</v>
      </c>
      <c r="AM78" s="106">
        <f t="shared" si="52"/>
        <v>0</v>
      </c>
      <c r="AN78" s="107">
        <f t="shared" si="66"/>
        <v>0.586933333333333</v>
      </c>
      <c r="AO78" s="105">
        <f t="shared" si="53"/>
        <v>0.280660241874528</v>
      </c>
      <c r="AP78" s="106">
        <f t="shared" si="54"/>
        <v>0.108</v>
      </c>
      <c r="AQ78" s="107">
        <f t="shared" si="67"/>
        <v>0.0132</v>
      </c>
      <c r="AR78" s="105">
        <f t="shared" si="68"/>
        <v>1.76304910521266</v>
      </c>
      <c r="AS78" s="106">
        <f t="shared" si="69"/>
        <v>9.46666666666667</v>
      </c>
      <c r="AT78" s="107">
        <f t="shared" si="70"/>
        <v>84.3001448921123</v>
      </c>
    </row>
    <row r="79" spans="17:46">
      <c r="Q79">
        <v>72</v>
      </c>
      <c r="R79" s="105">
        <f t="shared" si="43"/>
        <v>10</v>
      </c>
      <c r="S79" s="106">
        <f t="shared" si="44"/>
        <v>0.96</v>
      </c>
      <c r="T79" s="106">
        <f t="shared" si="45"/>
        <v>4</v>
      </c>
      <c r="U79" s="107">
        <f t="shared" si="46"/>
        <v>2.4</v>
      </c>
      <c r="V79" s="105">
        <f t="shared" si="47"/>
        <v>2</v>
      </c>
      <c r="W79" s="106">
        <f t="shared" si="48"/>
        <v>0.714285714285714</v>
      </c>
      <c r="X79" s="107">
        <f t="shared" si="49"/>
        <v>0.285714285714286</v>
      </c>
      <c r="Y79" s="105">
        <f t="shared" si="55"/>
        <v>0.380952380952381</v>
      </c>
      <c r="Z79" s="106">
        <f t="shared" si="56"/>
        <v>3.74095238095238</v>
      </c>
      <c r="AA79" s="106">
        <f t="shared" si="57"/>
        <v>2.40251820521291</v>
      </c>
      <c r="AB79" s="106">
        <v>0</v>
      </c>
      <c r="AC79" s="106">
        <f t="shared" si="58"/>
        <v>0.0577209372637944</v>
      </c>
      <c r="AD79" s="107">
        <f t="shared" si="59"/>
        <v>0.0577209372637944</v>
      </c>
      <c r="AE79" s="105">
        <f t="shared" si="60"/>
        <v>1.64571428571429</v>
      </c>
      <c r="AF79" s="106">
        <f t="shared" si="61"/>
        <v>2.40251820521291</v>
      </c>
      <c r="AG79" s="106">
        <f t="shared" si="50"/>
        <v>0.432907029478458</v>
      </c>
      <c r="AH79" s="106">
        <f t="shared" si="51"/>
        <v>0.358240732928122</v>
      </c>
      <c r="AI79" s="107">
        <f t="shared" si="62"/>
        <v>0.79114776240658</v>
      </c>
      <c r="AJ79" s="105">
        <f t="shared" si="63"/>
        <v>0.96</v>
      </c>
      <c r="AK79" s="106">
        <f t="shared" si="64"/>
        <v>1.898719486204</v>
      </c>
      <c r="AL79" s="106">
        <f t="shared" si="65"/>
        <v>0.5952</v>
      </c>
      <c r="AM79" s="106">
        <f t="shared" si="52"/>
        <v>0</v>
      </c>
      <c r="AN79" s="107">
        <f t="shared" si="66"/>
        <v>0.5952</v>
      </c>
      <c r="AO79" s="105">
        <f t="shared" si="53"/>
        <v>0.288604686318972</v>
      </c>
      <c r="AP79" s="106">
        <f t="shared" si="54"/>
        <v>0.108</v>
      </c>
      <c r="AQ79" s="107">
        <f t="shared" si="67"/>
        <v>0.0132</v>
      </c>
      <c r="AR79" s="105">
        <f t="shared" si="68"/>
        <v>1.79615244872555</v>
      </c>
      <c r="AS79" s="106">
        <f t="shared" si="69"/>
        <v>9.6</v>
      </c>
      <c r="AT79" s="107">
        <f t="shared" si="70"/>
        <v>84.2389573427792</v>
      </c>
    </row>
    <row r="80" spans="17:46">
      <c r="Q80">
        <v>73</v>
      </c>
      <c r="R80" s="105">
        <f t="shared" si="43"/>
        <v>10</v>
      </c>
      <c r="S80" s="106">
        <f t="shared" si="44"/>
        <v>0.973333333333333</v>
      </c>
      <c r="T80" s="106">
        <f t="shared" si="45"/>
        <v>4</v>
      </c>
      <c r="U80" s="107">
        <f t="shared" si="46"/>
        <v>2.43333333333333</v>
      </c>
      <c r="V80" s="105">
        <f t="shared" si="47"/>
        <v>2</v>
      </c>
      <c r="W80" s="106">
        <f t="shared" si="48"/>
        <v>0.714285714285714</v>
      </c>
      <c r="X80" s="107">
        <f t="shared" si="49"/>
        <v>0.285714285714286</v>
      </c>
      <c r="Y80" s="105">
        <f t="shared" si="55"/>
        <v>0.380952380952381</v>
      </c>
      <c r="Z80" s="106">
        <f t="shared" si="56"/>
        <v>3.78761904761905</v>
      </c>
      <c r="AA80" s="106">
        <f t="shared" si="57"/>
        <v>2.43581707800289</v>
      </c>
      <c r="AB80" s="106">
        <v>0</v>
      </c>
      <c r="AC80" s="106">
        <f t="shared" si="58"/>
        <v>0.0593320483749055</v>
      </c>
      <c r="AD80" s="107">
        <f t="shared" si="59"/>
        <v>0.0593320483749055</v>
      </c>
      <c r="AE80" s="105">
        <f t="shared" si="60"/>
        <v>1.69174603174603</v>
      </c>
      <c r="AF80" s="106">
        <f t="shared" si="61"/>
        <v>2.43581707800289</v>
      </c>
      <c r="AG80" s="106">
        <f t="shared" si="50"/>
        <v>0.444990362811791</v>
      </c>
      <c r="AH80" s="106">
        <f t="shared" si="51"/>
        <v>0.363216298663235</v>
      </c>
      <c r="AI80" s="107">
        <f t="shared" si="62"/>
        <v>0.808206661475026</v>
      </c>
      <c r="AJ80" s="105">
        <f t="shared" si="63"/>
        <v>0.973333333333333</v>
      </c>
      <c r="AK80" s="106">
        <f t="shared" si="64"/>
        <v>1.92365206692696</v>
      </c>
      <c r="AL80" s="106">
        <f t="shared" si="65"/>
        <v>0.603466666666667</v>
      </c>
      <c r="AM80" s="106">
        <f t="shared" si="52"/>
        <v>0</v>
      </c>
      <c r="AN80" s="107">
        <f t="shared" si="66"/>
        <v>0.603466666666667</v>
      </c>
      <c r="AO80" s="105">
        <f t="shared" si="53"/>
        <v>0.296660241874528</v>
      </c>
      <c r="AP80" s="106">
        <f t="shared" si="54"/>
        <v>0.108</v>
      </c>
      <c r="AQ80" s="107">
        <f t="shared" si="67"/>
        <v>0.0132</v>
      </c>
      <c r="AR80" s="105">
        <f t="shared" si="68"/>
        <v>1.82953357001622</v>
      </c>
      <c r="AS80" s="106">
        <f t="shared" si="69"/>
        <v>9.73333333333333</v>
      </c>
      <c r="AT80" s="107">
        <f t="shared" si="70"/>
        <v>84.177509044178</v>
      </c>
    </row>
    <row r="81" spans="17:46">
      <c r="Q81">
        <v>74</v>
      </c>
      <c r="R81" s="105">
        <f t="shared" si="43"/>
        <v>10</v>
      </c>
      <c r="S81" s="106">
        <f t="shared" si="44"/>
        <v>0.986666666666667</v>
      </c>
      <c r="T81" s="106">
        <f t="shared" si="45"/>
        <v>4</v>
      </c>
      <c r="U81" s="107">
        <f t="shared" si="46"/>
        <v>2.46666666666667</v>
      </c>
      <c r="V81" s="105">
        <f t="shared" si="47"/>
        <v>2</v>
      </c>
      <c r="W81" s="106">
        <f t="shared" si="48"/>
        <v>0.714285714285714</v>
      </c>
      <c r="X81" s="107">
        <f t="shared" si="49"/>
        <v>0.285714285714286</v>
      </c>
      <c r="Y81" s="105">
        <f t="shared" si="55"/>
        <v>0.380952380952381</v>
      </c>
      <c r="Z81" s="106">
        <f t="shared" si="56"/>
        <v>3.83428571428571</v>
      </c>
      <c r="AA81" s="106">
        <f t="shared" si="57"/>
        <v>2.4691168807539</v>
      </c>
      <c r="AB81" s="106">
        <v>0</v>
      </c>
      <c r="AC81" s="106">
        <f t="shared" si="58"/>
        <v>0.0609653817082388</v>
      </c>
      <c r="AD81" s="107">
        <f t="shared" si="59"/>
        <v>0.0609653817082388</v>
      </c>
      <c r="AE81" s="105">
        <f t="shared" si="60"/>
        <v>1.7384126984127</v>
      </c>
      <c r="AF81" s="106">
        <f t="shared" si="61"/>
        <v>2.4691168807539</v>
      </c>
      <c r="AG81" s="106">
        <f t="shared" si="50"/>
        <v>0.457240362811791</v>
      </c>
      <c r="AH81" s="106">
        <f t="shared" si="51"/>
        <v>0.368191864398347</v>
      </c>
      <c r="AI81" s="107">
        <f t="shared" si="62"/>
        <v>0.825432227210139</v>
      </c>
      <c r="AJ81" s="105">
        <f t="shared" si="63"/>
        <v>0.986666666666667</v>
      </c>
      <c r="AK81" s="106">
        <f t="shared" si="64"/>
        <v>1.94858494973619</v>
      </c>
      <c r="AL81" s="106">
        <f t="shared" si="65"/>
        <v>0.611733333333333</v>
      </c>
      <c r="AM81" s="106">
        <f t="shared" si="52"/>
        <v>0</v>
      </c>
      <c r="AN81" s="107">
        <f t="shared" si="66"/>
        <v>0.611733333333333</v>
      </c>
      <c r="AO81" s="105">
        <f t="shared" si="53"/>
        <v>0.304826908541194</v>
      </c>
      <c r="AP81" s="106">
        <f t="shared" si="54"/>
        <v>0.108</v>
      </c>
      <c r="AQ81" s="107">
        <f t="shared" si="67"/>
        <v>0.0132</v>
      </c>
      <c r="AR81" s="105">
        <f t="shared" si="68"/>
        <v>1.86319246908467</v>
      </c>
      <c r="AS81" s="106">
        <f t="shared" si="69"/>
        <v>9.86666666666667</v>
      </c>
      <c r="AT81" s="107">
        <f t="shared" si="70"/>
        <v>84.1158154797796</v>
      </c>
    </row>
    <row r="82" spans="17:46">
      <c r="Q82">
        <v>75</v>
      </c>
      <c r="R82" s="105">
        <f t="shared" si="43"/>
        <v>10</v>
      </c>
      <c r="S82" s="106">
        <f t="shared" si="44"/>
        <v>1</v>
      </c>
      <c r="T82" s="106">
        <f t="shared" si="45"/>
        <v>4</v>
      </c>
      <c r="U82" s="107">
        <f t="shared" si="46"/>
        <v>2.5</v>
      </c>
      <c r="V82" s="105">
        <f t="shared" si="47"/>
        <v>2</v>
      </c>
      <c r="W82" s="106">
        <f t="shared" si="48"/>
        <v>0.714285714285714</v>
      </c>
      <c r="X82" s="107">
        <f t="shared" si="49"/>
        <v>0.285714285714286</v>
      </c>
      <c r="Y82" s="105">
        <f t="shared" si="55"/>
        <v>0.380952380952381</v>
      </c>
      <c r="Z82" s="106">
        <f t="shared" si="56"/>
        <v>3.88095238095238</v>
      </c>
      <c r="AA82" s="106">
        <f t="shared" si="57"/>
        <v>2.50241757634082</v>
      </c>
      <c r="AB82" s="106">
        <v>0</v>
      </c>
      <c r="AC82" s="106">
        <f t="shared" si="58"/>
        <v>0.0626209372637944</v>
      </c>
      <c r="AD82" s="107">
        <f t="shared" si="59"/>
        <v>0.0626209372637944</v>
      </c>
      <c r="AE82" s="105">
        <f t="shared" si="60"/>
        <v>1.78571428571429</v>
      </c>
      <c r="AF82" s="106">
        <f t="shared" si="61"/>
        <v>2.50241757634082</v>
      </c>
      <c r="AG82" s="106">
        <f t="shared" si="50"/>
        <v>0.469657029478458</v>
      </c>
      <c r="AH82" s="106">
        <f t="shared" si="51"/>
        <v>0.37316743013346</v>
      </c>
      <c r="AI82" s="107">
        <f t="shared" si="62"/>
        <v>0.842824459611918</v>
      </c>
      <c r="AJ82" s="105">
        <f t="shared" si="63"/>
        <v>1</v>
      </c>
      <c r="AK82" s="106">
        <f t="shared" si="64"/>
        <v>1.97351812318227</v>
      </c>
      <c r="AL82" s="106">
        <f t="shared" si="65"/>
        <v>0.62</v>
      </c>
      <c r="AM82" s="106">
        <f t="shared" si="52"/>
        <v>0</v>
      </c>
      <c r="AN82" s="107">
        <f t="shared" si="66"/>
        <v>0.62</v>
      </c>
      <c r="AO82" s="105">
        <f t="shared" si="53"/>
        <v>0.313104686318972</v>
      </c>
      <c r="AP82" s="106">
        <f t="shared" si="54"/>
        <v>0.108</v>
      </c>
      <c r="AQ82" s="107">
        <f t="shared" si="67"/>
        <v>0.0132</v>
      </c>
      <c r="AR82" s="105">
        <f t="shared" si="68"/>
        <v>1.89712914593089</v>
      </c>
      <c r="AS82" s="106">
        <f t="shared" si="69"/>
        <v>10</v>
      </c>
      <c r="AT82" s="107">
        <f t="shared" si="70"/>
        <v>84.0538912988117</v>
      </c>
    </row>
    <row r="83" spans="17:46">
      <c r="Q83">
        <v>76</v>
      </c>
      <c r="R83" s="105">
        <f t="shared" si="43"/>
        <v>10</v>
      </c>
      <c r="S83" s="106">
        <f t="shared" si="44"/>
        <v>1.01333333333333</v>
      </c>
      <c r="T83" s="106">
        <f t="shared" si="45"/>
        <v>4</v>
      </c>
      <c r="U83" s="107">
        <f t="shared" si="46"/>
        <v>2.53333333333333</v>
      </c>
      <c r="V83" s="105">
        <f t="shared" si="47"/>
        <v>2</v>
      </c>
      <c r="W83" s="106">
        <f t="shared" si="48"/>
        <v>0.714285714285714</v>
      </c>
      <c r="X83" s="107">
        <f t="shared" si="49"/>
        <v>0.285714285714286</v>
      </c>
      <c r="Y83" s="105">
        <f t="shared" si="55"/>
        <v>0.380952380952381</v>
      </c>
      <c r="Z83" s="106">
        <f t="shared" si="56"/>
        <v>3.92761904761905</v>
      </c>
      <c r="AA83" s="106">
        <f t="shared" si="57"/>
        <v>2.53571912958774</v>
      </c>
      <c r="AB83" s="106">
        <v>0</v>
      </c>
      <c r="AC83" s="106">
        <f t="shared" si="58"/>
        <v>0.0642987150415722</v>
      </c>
      <c r="AD83" s="107">
        <f t="shared" si="59"/>
        <v>0.0642987150415722</v>
      </c>
      <c r="AE83" s="105">
        <f t="shared" si="60"/>
        <v>1.83365079365079</v>
      </c>
      <c r="AF83" s="106">
        <f t="shared" si="61"/>
        <v>2.53571912958774</v>
      </c>
      <c r="AG83" s="106">
        <f t="shared" si="50"/>
        <v>0.482240362811791</v>
      </c>
      <c r="AH83" s="106">
        <f t="shared" si="51"/>
        <v>0.378142995868573</v>
      </c>
      <c r="AI83" s="107">
        <f t="shared" si="62"/>
        <v>0.860383358680364</v>
      </c>
      <c r="AJ83" s="105">
        <f t="shared" si="63"/>
        <v>1.01333333333333</v>
      </c>
      <c r="AK83" s="106">
        <f t="shared" si="64"/>
        <v>1.99845157638703</v>
      </c>
      <c r="AL83" s="106">
        <f t="shared" si="65"/>
        <v>0.628266666666667</v>
      </c>
      <c r="AM83" s="106">
        <f t="shared" si="52"/>
        <v>0</v>
      </c>
      <c r="AN83" s="107">
        <f t="shared" si="66"/>
        <v>0.628266666666667</v>
      </c>
      <c r="AO83" s="105">
        <f t="shared" si="53"/>
        <v>0.321493575207861</v>
      </c>
      <c r="AP83" s="106">
        <f t="shared" si="54"/>
        <v>0.108</v>
      </c>
      <c r="AQ83" s="107">
        <f t="shared" si="67"/>
        <v>0.0132</v>
      </c>
      <c r="AR83" s="105">
        <f t="shared" si="68"/>
        <v>1.93134360055489</v>
      </c>
      <c r="AS83" s="106">
        <f t="shared" si="69"/>
        <v>10.1333333333333</v>
      </c>
      <c r="AT83" s="107">
        <f t="shared" si="70"/>
        <v>83.9917503706214</v>
      </c>
    </row>
    <row r="84" spans="17:46">
      <c r="Q84">
        <v>77</v>
      </c>
      <c r="R84" s="105">
        <f t="shared" si="43"/>
        <v>10</v>
      </c>
      <c r="S84" s="106">
        <f t="shared" si="44"/>
        <v>1.02666666666667</v>
      </c>
      <c r="T84" s="106">
        <f t="shared" si="45"/>
        <v>4</v>
      </c>
      <c r="U84" s="107">
        <f t="shared" si="46"/>
        <v>2.56666666666667</v>
      </c>
      <c r="V84" s="105">
        <f t="shared" si="47"/>
        <v>2</v>
      </c>
      <c r="W84" s="106">
        <f t="shared" si="48"/>
        <v>0.714285714285714</v>
      </c>
      <c r="X84" s="107">
        <f t="shared" si="49"/>
        <v>0.285714285714286</v>
      </c>
      <c r="Y84" s="105">
        <f t="shared" si="55"/>
        <v>0.380952380952381</v>
      </c>
      <c r="Z84" s="106">
        <f t="shared" si="56"/>
        <v>3.97428571428571</v>
      </c>
      <c r="AA84" s="106">
        <f t="shared" si="57"/>
        <v>2.56902150714182</v>
      </c>
      <c r="AB84" s="106">
        <v>0</v>
      </c>
      <c r="AC84" s="106">
        <f t="shared" si="58"/>
        <v>0.0659987150415722</v>
      </c>
      <c r="AD84" s="107">
        <f t="shared" si="59"/>
        <v>0.0659987150415722</v>
      </c>
      <c r="AE84" s="105">
        <f t="shared" si="60"/>
        <v>1.88222222222222</v>
      </c>
      <c r="AF84" s="106">
        <f t="shared" si="61"/>
        <v>2.56902150714182</v>
      </c>
      <c r="AG84" s="106">
        <f t="shared" si="50"/>
        <v>0.494990362811792</v>
      </c>
      <c r="AH84" s="106">
        <f t="shared" si="51"/>
        <v>0.383118561603686</v>
      </c>
      <c r="AI84" s="107">
        <f t="shared" si="62"/>
        <v>0.878108924415477</v>
      </c>
      <c r="AJ84" s="105">
        <f t="shared" si="63"/>
        <v>1.02666666666667</v>
      </c>
      <c r="AK84" s="106">
        <f t="shared" si="64"/>
        <v>2.02338529900837</v>
      </c>
      <c r="AL84" s="106">
        <f t="shared" si="65"/>
        <v>0.636533333333333</v>
      </c>
      <c r="AM84" s="106">
        <f t="shared" si="52"/>
        <v>0</v>
      </c>
      <c r="AN84" s="107">
        <f t="shared" si="66"/>
        <v>0.636533333333333</v>
      </c>
      <c r="AO84" s="105">
        <f t="shared" si="53"/>
        <v>0.329993575207861</v>
      </c>
      <c r="AP84" s="106">
        <f t="shared" si="54"/>
        <v>0.108</v>
      </c>
      <c r="AQ84" s="107">
        <f t="shared" si="67"/>
        <v>0.0132</v>
      </c>
      <c r="AR84" s="105">
        <f t="shared" si="68"/>
        <v>1.96583583295667</v>
      </c>
      <c r="AS84" s="106">
        <f t="shared" si="69"/>
        <v>10.2666666666667</v>
      </c>
      <c r="AT84" s="107">
        <f t="shared" si="70"/>
        <v>83.9294058348469</v>
      </c>
    </row>
    <row r="85" spans="17:46">
      <c r="Q85">
        <v>78</v>
      </c>
      <c r="R85" s="105">
        <f t="shared" si="43"/>
        <v>10</v>
      </c>
      <c r="S85" s="106">
        <f t="shared" si="44"/>
        <v>1.04</v>
      </c>
      <c r="T85" s="106">
        <f t="shared" si="45"/>
        <v>4</v>
      </c>
      <c r="U85" s="107">
        <f t="shared" si="46"/>
        <v>2.6</v>
      </c>
      <c r="V85" s="105">
        <f t="shared" si="47"/>
        <v>2</v>
      </c>
      <c r="W85" s="106">
        <f t="shared" si="48"/>
        <v>0.714285714285714</v>
      </c>
      <c r="X85" s="107">
        <f t="shared" si="49"/>
        <v>0.285714285714286</v>
      </c>
      <c r="Y85" s="105">
        <f t="shared" si="55"/>
        <v>0.380952380952381</v>
      </c>
      <c r="Z85" s="106">
        <f t="shared" si="56"/>
        <v>4.02095238095238</v>
      </c>
      <c r="AA85" s="106">
        <f t="shared" si="57"/>
        <v>2.60232467735666</v>
      </c>
      <c r="AB85" s="106">
        <v>0</v>
      </c>
      <c r="AC85" s="106">
        <f t="shared" si="58"/>
        <v>0.0677209372637944</v>
      </c>
      <c r="AD85" s="107">
        <f t="shared" si="59"/>
        <v>0.0677209372637944</v>
      </c>
      <c r="AE85" s="105">
        <f t="shared" si="60"/>
        <v>1.93142857142857</v>
      </c>
      <c r="AF85" s="106">
        <f t="shared" si="61"/>
        <v>2.60232467735666</v>
      </c>
      <c r="AG85" s="106">
        <f t="shared" si="50"/>
        <v>0.507907029478458</v>
      </c>
      <c r="AH85" s="106">
        <f t="shared" si="51"/>
        <v>0.388094127338799</v>
      </c>
      <c r="AI85" s="107">
        <f t="shared" si="62"/>
        <v>0.896001156817257</v>
      </c>
      <c r="AJ85" s="105">
        <f t="shared" si="63"/>
        <v>1.04</v>
      </c>
      <c r="AK85" s="106">
        <f t="shared" si="64"/>
        <v>2.04831928120764</v>
      </c>
      <c r="AL85" s="106">
        <f t="shared" si="65"/>
        <v>0.6448</v>
      </c>
      <c r="AM85" s="106">
        <f t="shared" si="52"/>
        <v>0</v>
      </c>
      <c r="AN85" s="107">
        <f t="shared" si="66"/>
        <v>0.6448</v>
      </c>
      <c r="AO85" s="105">
        <f t="shared" si="53"/>
        <v>0.338604686318972</v>
      </c>
      <c r="AP85" s="106">
        <f t="shared" si="54"/>
        <v>0.108</v>
      </c>
      <c r="AQ85" s="107">
        <f t="shared" si="67"/>
        <v>0.0132</v>
      </c>
      <c r="AR85" s="105">
        <f t="shared" si="68"/>
        <v>2.00060584313623</v>
      </c>
      <c r="AS85" s="106">
        <f t="shared" si="69"/>
        <v>10.4</v>
      </c>
      <c r="AT85" s="107">
        <f t="shared" si="70"/>
        <v>83.8668701477713</v>
      </c>
    </row>
    <row r="86" spans="17:46">
      <c r="Q86">
        <v>79</v>
      </c>
      <c r="R86" s="105">
        <f t="shared" si="43"/>
        <v>10</v>
      </c>
      <c r="S86" s="106">
        <f t="shared" si="44"/>
        <v>1.05333333333333</v>
      </c>
      <c r="T86" s="106">
        <f t="shared" si="45"/>
        <v>4</v>
      </c>
      <c r="U86" s="107">
        <f t="shared" si="46"/>
        <v>2.63333333333333</v>
      </c>
      <c r="V86" s="105">
        <f t="shared" si="47"/>
        <v>2</v>
      </c>
      <c r="W86" s="106">
        <f t="shared" si="48"/>
        <v>0.714285714285714</v>
      </c>
      <c r="X86" s="107">
        <f t="shared" si="49"/>
        <v>0.285714285714286</v>
      </c>
      <c r="Y86" s="105">
        <f t="shared" si="55"/>
        <v>0.380952380952381</v>
      </c>
      <c r="Z86" s="106">
        <f t="shared" si="56"/>
        <v>4.06761904761905</v>
      </c>
      <c r="AA86" s="106">
        <f t="shared" si="57"/>
        <v>2.63562861018465</v>
      </c>
      <c r="AB86" s="106">
        <v>0</v>
      </c>
      <c r="AC86" s="106">
        <f t="shared" si="58"/>
        <v>0.0694653817082389</v>
      </c>
      <c r="AD86" s="107">
        <f t="shared" si="59"/>
        <v>0.0694653817082389</v>
      </c>
      <c r="AE86" s="105">
        <f t="shared" si="60"/>
        <v>1.98126984126984</v>
      </c>
      <c r="AF86" s="106">
        <f t="shared" si="61"/>
        <v>2.63562861018465</v>
      </c>
      <c r="AG86" s="106">
        <f t="shared" si="50"/>
        <v>0.520990362811791</v>
      </c>
      <c r="AH86" s="106">
        <f t="shared" si="51"/>
        <v>0.393069693073912</v>
      </c>
      <c r="AI86" s="107">
        <f t="shared" si="62"/>
        <v>0.914060055885703</v>
      </c>
      <c r="AJ86" s="105">
        <f t="shared" si="63"/>
        <v>1.05333333333333</v>
      </c>
      <c r="AK86" s="106">
        <f t="shared" si="64"/>
        <v>2.07325351361941</v>
      </c>
      <c r="AL86" s="106">
        <f t="shared" si="65"/>
        <v>0.653066666666667</v>
      </c>
      <c r="AM86" s="106">
        <f t="shared" si="52"/>
        <v>0</v>
      </c>
      <c r="AN86" s="107">
        <f t="shared" si="66"/>
        <v>0.653066666666667</v>
      </c>
      <c r="AO86" s="105">
        <f t="shared" si="53"/>
        <v>0.347326908541194</v>
      </c>
      <c r="AP86" s="106">
        <f t="shared" si="54"/>
        <v>0.108</v>
      </c>
      <c r="AQ86" s="107">
        <f t="shared" si="67"/>
        <v>0.0132</v>
      </c>
      <c r="AR86" s="105">
        <f t="shared" si="68"/>
        <v>2.03565363109356</v>
      </c>
      <c r="AS86" s="106">
        <f t="shared" si="69"/>
        <v>10.5333333333333</v>
      </c>
      <c r="AT86" s="107">
        <f t="shared" si="70"/>
        <v>83.8041551251909</v>
      </c>
    </row>
    <row r="87" spans="17:46">
      <c r="Q87">
        <v>80</v>
      </c>
      <c r="R87" s="105">
        <f t="shared" si="43"/>
        <v>10</v>
      </c>
      <c r="S87" s="106">
        <f t="shared" si="44"/>
        <v>1.06666666666667</v>
      </c>
      <c r="T87" s="106">
        <f t="shared" si="45"/>
        <v>4</v>
      </c>
      <c r="U87" s="107">
        <f t="shared" si="46"/>
        <v>2.66666666666667</v>
      </c>
      <c r="V87" s="105">
        <f t="shared" si="47"/>
        <v>2</v>
      </c>
      <c r="W87" s="106">
        <f t="shared" si="48"/>
        <v>0.714285714285714</v>
      </c>
      <c r="X87" s="107">
        <f t="shared" si="49"/>
        <v>0.285714285714286</v>
      </c>
      <c r="Y87" s="105">
        <f t="shared" si="55"/>
        <v>0.380952380952381</v>
      </c>
      <c r="Z87" s="106">
        <f t="shared" si="56"/>
        <v>4.11428571428571</v>
      </c>
      <c r="AA87" s="106">
        <f t="shared" si="57"/>
        <v>2.6689332770773</v>
      </c>
      <c r="AB87" s="106">
        <v>0</v>
      </c>
      <c r="AC87" s="106">
        <f t="shared" si="58"/>
        <v>0.0712320483749055</v>
      </c>
      <c r="AD87" s="107">
        <f t="shared" si="59"/>
        <v>0.0712320483749055</v>
      </c>
      <c r="AE87" s="105">
        <f t="shared" si="60"/>
        <v>2.03174603174603</v>
      </c>
      <c r="AF87" s="106">
        <f t="shared" si="61"/>
        <v>2.6689332770773</v>
      </c>
      <c r="AG87" s="106">
        <f t="shared" si="50"/>
        <v>0.534240362811791</v>
      </c>
      <c r="AH87" s="106">
        <f t="shared" si="51"/>
        <v>0.398045258809024</v>
      </c>
      <c r="AI87" s="107">
        <f t="shared" si="62"/>
        <v>0.932285621620816</v>
      </c>
      <c r="AJ87" s="105">
        <f t="shared" si="63"/>
        <v>1.06666666666667</v>
      </c>
      <c r="AK87" s="106">
        <f t="shared" si="64"/>
        <v>2.09818798732333</v>
      </c>
      <c r="AL87" s="106">
        <f t="shared" si="65"/>
        <v>0.661333333333333</v>
      </c>
      <c r="AM87" s="106">
        <f t="shared" si="52"/>
        <v>0</v>
      </c>
      <c r="AN87" s="107">
        <f t="shared" si="66"/>
        <v>0.661333333333333</v>
      </c>
      <c r="AO87" s="105">
        <f t="shared" si="53"/>
        <v>0.356160241874528</v>
      </c>
      <c r="AP87" s="106">
        <f t="shared" si="54"/>
        <v>0.108</v>
      </c>
      <c r="AQ87" s="107">
        <f t="shared" si="67"/>
        <v>0.0132</v>
      </c>
      <c r="AR87" s="105">
        <f t="shared" si="68"/>
        <v>2.07097919682868</v>
      </c>
      <c r="AS87" s="106">
        <f t="shared" si="69"/>
        <v>10.6666666666667</v>
      </c>
      <c r="AT87" s="107">
        <f t="shared" si="70"/>
        <v>83.7412719821025</v>
      </c>
    </row>
    <row r="88" spans="17:46">
      <c r="Q88">
        <v>81</v>
      </c>
      <c r="R88" s="105">
        <f t="shared" si="43"/>
        <v>10</v>
      </c>
      <c r="S88" s="106">
        <f t="shared" si="44"/>
        <v>1.08</v>
      </c>
      <c r="T88" s="106">
        <f t="shared" si="45"/>
        <v>4</v>
      </c>
      <c r="U88" s="107">
        <f t="shared" si="46"/>
        <v>2.7</v>
      </c>
      <c r="V88" s="105">
        <f t="shared" si="47"/>
        <v>2</v>
      </c>
      <c r="W88" s="106">
        <f t="shared" si="48"/>
        <v>0.714285714285714</v>
      </c>
      <c r="X88" s="107">
        <f t="shared" si="49"/>
        <v>0.285714285714286</v>
      </c>
      <c r="Y88" s="105">
        <f t="shared" si="55"/>
        <v>0.380952380952381</v>
      </c>
      <c r="Z88" s="106">
        <f t="shared" si="56"/>
        <v>4.16095238095238</v>
      </c>
      <c r="AA88" s="106">
        <f t="shared" si="57"/>
        <v>2.70223865089289</v>
      </c>
      <c r="AB88" s="106">
        <v>0</v>
      </c>
      <c r="AC88" s="106">
        <f t="shared" si="58"/>
        <v>0.0730209372637944</v>
      </c>
      <c r="AD88" s="107">
        <f t="shared" si="59"/>
        <v>0.0730209372637944</v>
      </c>
      <c r="AE88" s="105">
        <f t="shared" si="60"/>
        <v>2.08285714285714</v>
      </c>
      <c r="AF88" s="106">
        <f t="shared" si="61"/>
        <v>2.70223865089289</v>
      </c>
      <c r="AG88" s="106">
        <f t="shared" si="50"/>
        <v>0.547657029478458</v>
      </c>
      <c r="AH88" s="106">
        <f t="shared" si="51"/>
        <v>0.403020824544137</v>
      </c>
      <c r="AI88" s="107">
        <f t="shared" si="62"/>
        <v>0.950677854022595</v>
      </c>
      <c r="AJ88" s="105">
        <f t="shared" si="63"/>
        <v>1.08</v>
      </c>
      <c r="AK88" s="106">
        <f t="shared" si="64"/>
        <v>2.12312269381802</v>
      </c>
      <c r="AL88" s="106">
        <f t="shared" si="65"/>
        <v>0.6696</v>
      </c>
      <c r="AM88" s="106">
        <f t="shared" si="52"/>
        <v>0</v>
      </c>
      <c r="AN88" s="107">
        <f t="shared" si="66"/>
        <v>0.6696</v>
      </c>
      <c r="AO88" s="105">
        <f t="shared" si="53"/>
        <v>0.365104686318972</v>
      </c>
      <c r="AP88" s="106">
        <f t="shared" si="54"/>
        <v>0.108</v>
      </c>
      <c r="AQ88" s="107">
        <f t="shared" si="67"/>
        <v>0.0132</v>
      </c>
      <c r="AR88" s="105">
        <f t="shared" si="68"/>
        <v>2.10658254034157</v>
      </c>
      <c r="AS88" s="106">
        <f t="shared" si="69"/>
        <v>10.8</v>
      </c>
      <c r="AT88" s="107">
        <f t="shared" si="70"/>
        <v>83.6782313694806</v>
      </c>
    </row>
    <row r="89" spans="17:46">
      <c r="Q89">
        <v>82</v>
      </c>
      <c r="R89" s="105">
        <f t="shared" si="43"/>
        <v>10</v>
      </c>
      <c r="S89" s="106">
        <f t="shared" si="44"/>
        <v>1.09333333333333</v>
      </c>
      <c r="T89" s="106">
        <f t="shared" si="45"/>
        <v>4</v>
      </c>
      <c r="U89" s="107">
        <f t="shared" si="46"/>
        <v>2.73333333333333</v>
      </c>
      <c r="V89" s="105">
        <f t="shared" si="47"/>
        <v>2</v>
      </c>
      <c r="W89" s="106">
        <f t="shared" si="48"/>
        <v>0.714285714285714</v>
      </c>
      <c r="X89" s="107">
        <f t="shared" si="49"/>
        <v>0.285714285714286</v>
      </c>
      <c r="Y89" s="105">
        <f t="shared" si="55"/>
        <v>0.380952380952381</v>
      </c>
      <c r="Z89" s="106">
        <f t="shared" si="56"/>
        <v>4.20761904761905</v>
      </c>
      <c r="AA89" s="106">
        <f t="shared" si="57"/>
        <v>2.73554470581099</v>
      </c>
      <c r="AB89" s="106">
        <v>0</v>
      </c>
      <c r="AC89" s="106">
        <f t="shared" si="58"/>
        <v>0.0748320483749055</v>
      </c>
      <c r="AD89" s="107">
        <f t="shared" si="59"/>
        <v>0.0748320483749055</v>
      </c>
      <c r="AE89" s="105">
        <f t="shared" si="60"/>
        <v>2.13460317460318</v>
      </c>
      <c r="AF89" s="106">
        <f t="shared" si="61"/>
        <v>2.73554470581099</v>
      </c>
      <c r="AG89" s="106">
        <f t="shared" si="50"/>
        <v>0.561240362811791</v>
      </c>
      <c r="AH89" s="106">
        <f t="shared" si="51"/>
        <v>0.40799639027925</v>
      </c>
      <c r="AI89" s="107">
        <f t="shared" si="62"/>
        <v>0.969236753091041</v>
      </c>
      <c r="AJ89" s="105">
        <f t="shared" si="63"/>
        <v>1.09333333333333</v>
      </c>
      <c r="AK89" s="106">
        <f t="shared" si="64"/>
        <v>2.14805762499675</v>
      </c>
      <c r="AL89" s="106">
        <f t="shared" si="65"/>
        <v>0.677866666666667</v>
      </c>
      <c r="AM89" s="106">
        <f t="shared" si="52"/>
        <v>0</v>
      </c>
      <c r="AN89" s="107">
        <f t="shared" si="66"/>
        <v>0.677866666666667</v>
      </c>
      <c r="AO89" s="105">
        <f t="shared" si="53"/>
        <v>0.374160241874528</v>
      </c>
      <c r="AP89" s="106">
        <f t="shared" si="54"/>
        <v>0.108</v>
      </c>
      <c r="AQ89" s="107">
        <f t="shared" si="67"/>
        <v>0.0132</v>
      </c>
      <c r="AR89" s="105">
        <f t="shared" si="68"/>
        <v>2.14246366163224</v>
      </c>
      <c r="AS89" s="106">
        <f t="shared" si="69"/>
        <v>10.9333333333333</v>
      </c>
      <c r="AT89" s="107">
        <f t="shared" si="70"/>
        <v>83.6150434083894</v>
      </c>
    </row>
    <row r="90" spans="17:46">
      <c r="Q90">
        <v>83</v>
      </c>
      <c r="R90" s="105">
        <f t="shared" si="43"/>
        <v>10</v>
      </c>
      <c r="S90" s="106">
        <f t="shared" si="44"/>
        <v>1.10666666666667</v>
      </c>
      <c r="T90" s="106">
        <f t="shared" si="45"/>
        <v>4</v>
      </c>
      <c r="U90" s="107">
        <f t="shared" si="46"/>
        <v>2.76666666666667</v>
      </c>
      <c r="V90" s="105">
        <f t="shared" si="47"/>
        <v>2</v>
      </c>
      <c r="W90" s="106">
        <f t="shared" si="48"/>
        <v>0.714285714285714</v>
      </c>
      <c r="X90" s="107">
        <f t="shared" si="49"/>
        <v>0.285714285714286</v>
      </c>
      <c r="Y90" s="105">
        <f t="shared" si="55"/>
        <v>0.380952380952381</v>
      </c>
      <c r="Z90" s="106">
        <f t="shared" si="56"/>
        <v>4.25428571428571</v>
      </c>
      <c r="AA90" s="106">
        <f t="shared" si="57"/>
        <v>2.76885141725299</v>
      </c>
      <c r="AB90" s="106">
        <v>0</v>
      </c>
      <c r="AC90" s="106">
        <f t="shared" si="58"/>
        <v>0.0766653817082388</v>
      </c>
      <c r="AD90" s="107">
        <f t="shared" si="59"/>
        <v>0.0766653817082388</v>
      </c>
      <c r="AE90" s="105">
        <f t="shared" si="60"/>
        <v>2.18698412698413</v>
      </c>
      <c r="AF90" s="106">
        <f t="shared" si="61"/>
        <v>2.76885141725299</v>
      </c>
      <c r="AG90" s="106">
        <f t="shared" si="50"/>
        <v>0.574990362811791</v>
      </c>
      <c r="AH90" s="106">
        <f t="shared" si="51"/>
        <v>0.412971956014363</v>
      </c>
      <c r="AI90" s="107">
        <f t="shared" si="62"/>
        <v>0.987962318826154</v>
      </c>
      <c r="AJ90" s="105">
        <f t="shared" si="63"/>
        <v>1.10666666666667</v>
      </c>
      <c r="AK90" s="106">
        <f t="shared" si="64"/>
        <v>2.17299277312482</v>
      </c>
      <c r="AL90" s="106">
        <f t="shared" si="65"/>
        <v>0.686133333333333</v>
      </c>
      <c r="AM90" s="106">
        <f t="shared" si="52"/>
        <v>0</v>
      </c>
      <c r="AN90" s="107">
        <f t="shared" si="66"/>
        <v>0.686133333333333</v>
      </c>
      <c r="AO90" s="105">
        <f t="shared" si="53"/>
        <v>0.383326908541194</v>
      </c>
      <c r="AP90" s="106">
        <f t="shared" si="54"/>
        <v>0.108</v>
      </c>
      <c r="AQ90" s="107">
        <f t="shared" si="67"/>
        <v>0.0132</v>
      </c>
      <c r="AR90" s="105">
        <f t="shared" si="68"/>
        <v>2.17862256070068</v>
      </c>
      <c r="AS90" s="106">
        <f t="shared" si="69"/>
        <v>11.0666666666667</v>
      </c>
      <c r="AT90" s="107">
        <f t="shared" si="70"/>
        <v>83.5517177216544</v>
      </c>
    </row>
    <row r="91" spans="17:46">
      <c r="Q91">
        <v>84</v>
      </c>
      <c r="R91" s="105">
        <f t="shared" si="43"/>
        <v>10</v>
      </c>
      <c r="S91" s="106">
        <f t="shared" si="44"/>
        <v>1.12</v>
      </c>
      <c r="T91" s="106">
        <f t="shared" si="45"/>
        <v>4</v>
      </c>
      <c r="U91" s="107">
        <f t="shared" si="46"/>
        <v>2.8</v>
      </c>
      <c r="V91" s="105">
        <f t="shared" si="47"/>
        <v>2</v>
      </c>
      <c r="W91" s="106">
        <f t="shared" si="48"/>
        <v>0.714285714285714</v>
      </c>
      <c r="X91" s="107">
        <f t="shared" si="49"/>
        <v>0.285714285714286</v>
      </c>
      <c r="Y91" s="105">
        <f t="shared" si="55"/>
        <v>0.380952380952381</v>
      </c>
      <c r="Z91" s="106">
        <f t="shared" si="56"/>
        <v>4.30095238095238</v>
      </c>
      <c r="AA91" s="106">
        <f t="shared" si="57"/>
        <v>2.80215876180837</v>
      </c>
      <c r="AB91" s="106">
        <v>0</v>
      </c>
      <c r="AC91" s="106">
        <f t="shared" si="58"/>
        <v>0.0785209372637944</v>
      </c>
      <c r="AD91" s="107">
        <f t="shared" si="59"/>
        <v>0.0785209372637944</v>
      </c>
      <c r="AE91" s="105">
        <f t="shared" si="60"/>
        <v>2.24</v>
      </c>
      <c r="AF91" s="106">
        <f t="shared" si="61"/>
        <v>2.80215876180837</v>
      </c>
      <c r="AG91" s="106">
        <f t="shared" si="50"/>
        <v>0.588907029478458</v>
      </c>
      <c r="AH91" s="106">
        <f t="shared" si="51"/>
        <v>0.417947521749475</v>
      </c>
      <c r="AI91" s="107">
        <f t="shared" si="62"/>
        <v>1.00685455122793</v>
      </c>
      <c r="AJ91" s="105">
        <f t="shared" si="63"/>
        <v>1.12</v>
      </c>
      <c r="AK91" s="106">
        <f t="shared" si="64"/>
        <v>2.19792813081847</v>
      </c>
      <c r="AL91" s="106">
        <f t="shared" si="65"/>
        <v>0.6944</v>
      </c>
      <c r="AM91" s="106">
        <f t="shared" si="52"/>
        <v>0</v>
      </c>
      <c r="AN91" s="107">
        <f t="shared" si="66"/>
        <v>0.6944</v>
      </c>
      <c r="AO91" s="105">
        <f t="shared" si="53"/>
        <v>0.392604686318972</v>
      </c>
      <c r="AP91" s="106">
        <f t="shared" si="54"/>
        <v>0.108</v>
      </c>
      <c r="AQ91" s="107">
        <f t="shared" si="67"/>
        <v>0.0132</v>
      </c>
      <c r="AR91" s="105">
        <f t="shared" si="68"/>
        <v>2.21505923754691</v>
      </c>
      <c r="AS91" s="106">
        <f t="shared" si="69"/>
        <v>11.2</v>
      </c>
      <c r="AT91" s="107">
        <f t="shared" si="70"/>
        <v>83.4882634632931</v>
      </c>
    </row>
    <row r="92" spans="17:46">
      <c r="Q92">
        <v>85</v>
      </c>
      <c r="R92" s="105">
        <f t="shared" si="43"/>
        <v>10</v>
      </c>
      <c r="S92" s="106">
        <f t="shared" si="44"/>
        <v>1.13333333333333</v>
      </c>
      <c r="T92" s="106">
        <f t="shared" si="45"/>
        <v>4</v>
      </c>
      <c r="U92" s="107">
        <f t="shared" si="46"/>
        <v>2.83333333333333</v>
      </c>
      <c r="V92" s="105">
        <f t="shared" si="47"/>
        <v>2</v>
      </c>
      <c r="W92" s="106">
        <f t="shared" si="48"/>
        <v>0.714285714285714</v>
      </c>
      <c r="X92" s="107">
        <f t="shared" si="49"/>
        <v>0.285714285714286</v>
      </c>
      <c r="Y92" s="105">
        <f t="shared" si="55"/>
        <v>0.380952380952381</v>
      </c>
      <c r="Z92" s="106">
        <f t="shared" si="56"/>
        <v>4.34761904761905</v>
      </c>
      <c r="AA92" s="106">
        <f t="shared" si="57"/>
        <v>2.83546671716619</v>
      </c>
      <c r="AB92" s="106">
        <v>0</v>
      </c>
      <c r="AC92" s="106">
        <f t="shared" si="58"/>
        <v>0.0803987150415722</v>
      </c>
      <c r="AD92" s="107">
        <f t="shared" si="59"/>
        <v>0.0803987150415722</v>
      </c>
      <c r="AE92" s="105">
        <f t="shared" si="60"/>
        <v>2.29365079365079</v>
      </c>
      <c r="AF92" s="106">
        <f t="shared" si="61"/>
        <v>2.83546671716619</v>
      </c>
      <c r="AG92" s="106">
        <f t="shared" si="50"/>
        <v>0.602990362811791</v>
      </c>
      <c r="AH92" s="106">
        <f t="shared" si="51"/>
        <v>0.422923087484588</v>
      </c>
      <c r="AI92" s="107">
        <f t="shared" si="62"/>
        <v>1.02591345029638</v>
      </c>
      <c r="AJ92" s="105">
        <f t="shared" si="63"/>
        <v>1.13333333333333</v>
      </c>
      <c r="AK92" s="106">
        <f t="shared" si="64"/>
        <v>2.22286369102518</v>
      </c>
      <c r="AL92" s="106">
        <f t="shared" si="65"/>
        <v>0.702666666666667</v>
      </c>
      <c r="AM92" s="106">
        <f t="shared" si="52"/>
        <v>0</v>
      </c>
      <c r="AN92" s="107">
        <f t="shared" si="66"/>
        <v>0.702666666666667</v>
      </c>
      <c r="AO92" s="105">
        <f t="shared" si="53"/>
        <v>0.401993575207861</v>
      </c>
      <c r="AP92" s="106">
        <f t="shared" si="54"/>
        <v>0.108</v>
      </c>
      <c r="AQ92" s="107">
        <f t="shared" si="67"/>
        <v>0.0132</v>
      </c>
      <c r="AR92" s="105">
        <f t="shared" si="68"/>
        <v>2.25177369217091</v>
      </c>
      <c r="AS92" s="106">
        <f t="shared" si="69"/>
        <v>11.3333333333333</v>
      </c>
      <c r="AT92" s="107">
        <f t="shared" si="70"/>
        <v>83.4246893458881</v>
      </c>
    </row>
    <row r="93" spans="17:46">
      <c r="Q93">
        <v>86</v>
      </c>
      <c r="R93" s="105">
        <f t="shared" si="43"/>
        <v>10</v>
      </c>
      <c r="S93" s="106">
        <f t="shared" si="44"/>
        <v>1.14666666666667</v>
      </c>
      <c r="T93" s="106">
        <f t="shared" si="45"/>
        <v>4</v>
      </c>
      <c r="U93" s="107">
        <f t="shared" si="46"/>
        <v>2.86666666666667</v>
      </c>
      <c r="V93" s="105">
        <f t="shared" si="47"/>
        <v>2</v>
      </c>
      <c r="W93" s="106">
        <f t="shared" si="48"/>
        <v>0.714285714285714</v>
      </c>
      <c r="X93" s="107">
        <f t="shared" si="49"/>
        <v>0.285714285714286</v>
      </c>
      <c r="Y93" s="105">
        <f t="shared" si="55"/>
        <v>0.380952380952381</v>
      </c>
      <c r="Z93" s="106">
        <f t="shared" si="56"/>
        <v>4.39428571428572</v>
      </c>
      <c r="AA93" s="106">
        <f t="shared" si="57"/>
        <v>2.86877526205125</v>
      </c>
      <c r="AB93" s="106">
        <v>0</v>
      </c>
      <c r="AC93" s="106">
        <f t="shared" si="58"/>
        <v>0.0822987150415722</v>
      </c>
      <c r="AD93" s="107">
        <f t="shared" si="59"/>
        <v>0.0822987150415722</v>
      </c>
      <c r="AE93" s="105">
        <f t="shared" si="60"/>
        <v>2.34793650793651</v>
      </c>
      <c r="AF93" s="106">
        <f t="shared" si="61"/>
        <v>2.86877526205125</v>
      </c>
      <c r="AG93" s="106">
        <f t="shared" si="50"/>
        <v>0.617240362811791</v>
      </c>
      <c r="AH93" s="106">
        <f t="shared" si="51"/>
        <v>0.427898653219701</v>
      </c>
      <c r="AI93" s="107">
        <f t="shared" si="62"/>
        <v>1.04513901603149</v>
      </c>
      <c r="AJ93" s="105">
        <f t="shared" si="63"/>
        <v>1.14666666666667</v>
      </c>
      <c r="AK93" s="106">
        <f t="shared" si="64"/>
        <v>2.24779944700533</v>
      </c>
      <c r="AL93" s="106">
        <f t="shared" si="65"/>
        <v>0.710933333333333</v>
      </c>
      <c r="AM93" s="106">
        <f t="shared" si="52"/>
        <v>0</v>
      </c>
      <c r="AN93" s="107">
        <f t="shared" si="66"/>
        <v>0.710933333333333</v>
      </c>
      <c r="AO93" s="105">
        <f t="shared" si="53"/>
        <v>0.411493575207861</v>
      </c>
      <c r="AP93" s="106">
        <f t="shared" si="54"/>
        <v>0.108</v>
      </c>
      <c r="AQ93" s="107">
        <f t="shared" si="67"/>
        <v>0.0132</v>
      </c>
      <c r="AR93" s="105">
        <f t="shared" si="68"/>
        <v>2.28876592457269</v>
      </c>
      <c r="AS93" s="106">
        <f t="shared" si="69"/>
        <v>11.4666666666667</v>
      </c>
      <c r="AT93" s="107">
        <f t="shared" si="70"/>
        <v>83.3610036660688</v>
      </c>
    </row>
    <row r="94" spans="17:46">
      <c r="Q94">
        <v>87</v>
      </c>
      <c r="R94" s="105">
        <f t="shared" si="43"/>
        <v>10</v>
      </c>
      <c r="S94" s="106">
        <f t="shared" si="44"/>
        <v>1.16</v>
      </c>
      <c r="T94" s="106">
        <f t="shared" si="45"/>
        <v>4</v>
      </c>
      <c r="U94" s="107">
        <f t="shared" si="46"/>
        <v>2.9</v>
      </c>
      <c r="V94" s="105">
        <f t="shared" si="47"/>
        <v>2</v>
      </c>
      <c r="W94" s="106">
        <f t="shared" si="48"/>
        <v>0.714285714285714</v>
      </c>
      <c r="X94" s="107">
        <f t="shared" si="49"/>
        <v>0.285714285714286</v>
      </c>
      <c r="Y94" s="105">
        <f t="shared" si="55"/>
        <v>0.380952380952381</v>
      </c>
      <c r="Z94" s="106">
        <f t="shared" si="56"/>
        <v>4.44095238095238</v>
      </c>
      <c r="AA94" s="106">
        <f t="shared" si="57"/>
        <v>2.90208437616473</v>
      </c>
      <c r="AB94" s="106">
        <v>0</v>
      </c>
      <c r="AC94" s="106">
        <f t="shared" si="58"/>
        <v>0.0842209372637944</v>
      </c>
      <c r="AD94" s="107">
        <f t="shared" si="59"/>
        <v>0.0842209372637944</v>
      </c>
      <c r="AE94" s="105">
        <f t="shared" si="60"/>
        <v>2.40285714285714</v>
      </c>
      <c r="AF94" s="106">
        <f t="shared" si="61"/>
        <v>2.90208437616473</v>
      </c>
      <c r="AG94" s="106">
        <f t="shared" si="50"/>
        <v>0.631657029478458</v>
      </c>
      <c r="AH94" s="106">
        <f t="shared" si="51"/>
        <v>0.432874218954814</v>
      </c>
      <c r="AI94" s="107">
        <f t="shared" si="62"/>
        <v>1.06453124843327</v>
      </c>
      <c r="AJ94" s="105">
        <f t="shared" si="63"/>
        <v>1.16</v>
      </c>
      <c r="AK94" s="106">
        <f t="shared" si="64"/>
        <v>2.27273539231501</v>
      </c>
      <c r="AL94" s="106">
        <f t="shared" si="65"/>
        <v>0.7192</v>
      </c>
      <c r="AM94" s="106">
        <f t="shared" si="52"/>
        <v>0</v>
      </c>
      <c r="AN94" s="107">
        <f t="shared" si="66"/>
        <v>0.7192</v>
      </c>
      <c r="AO94" s="105">
        <f t="shared" si="53"/>
        <v>0.421104686318972</v>
      </c>
      <c r="AP94" s="106">
        <f t="shared" si="54"/>
        <v>0.108</v>
      </c>
      <c r="AQ94" s="107">
        <f t="shared" si="67"/>
        <v>0.0132</v>
      </c>
      <c r="AR94" s="105">
        <f t="shared" si="68"/>
        <v>2.32603593475224</v>
      </c>
      <c r="AS94" s="106">
        <f t="shared" si="69"/>
        <v>11.6</v>
      </c>
      <c r="AT94" s="107">
        <f t="shared" si="70"/>
        <v>83.2972143282522</v>
      </c>
    </row>
    <row r="95" spans="17:46">
      <c r="Q95">
        <v>88</v>
      </c>
      <c r="R95" s="105">
        <f t="shared" si="43"/>
        <v>10</v>
      </c>
      <c r="S95" s="106">
        <f t="shared" si="44"/>
        <v>1.17333333333333</v>
      </c>
      <c r="T95" s="106">
        <f t="shared" si="45"/>
        <v>4</v>
      </c>
      <c r="U95" s="107">
        <f t="shared" si="46"/>
        <v>2.93333333333333</v>
      </c>
      <c r="V95" s="105">
        <f t="shared" si="47"/>
        <v>2</v>
      </c>
      <c r="W95" s="106">
        <f t="shared" si="48"/>
        <v>0.714285714285714</v>
      </c>
      <c r="X95" s="107">
        <f t="shared" si="49"/>
        <v>0.285714285714286</v>
      </c>
      <c r="Y95" s="105">
        <f t="shared" si="55"/>
        <v>0.380952380952381</v>
      </c>
      <c r="Z95" s="106">
        <f t="shared" si="56"/>
        <v>4.48761904761905</v>
      </c>
      <c r="AA95" s="106">
        <f t="shared" si="57"/>
        <v>2.93539404012884</v>
      </c>
      <c r="AB95" s="106">
        <v>0</v>
      </c>
      <c r="AC95" s="106">
        <f t="shared" si="58"/>
        <v>0.0861653817082389</v>
      </c>
      <c r="AD95" s="107">
        <f t="shared" si="59"/>
        <v>0.0861653817082389</v>
      </c>
      <c r="AE95" s="105">
        <f t="shared" si="60"/>
        <v>2.4584126984127</v>
      </c>
      <c r="AF95" s="106">
        <f t="shared" si="61"/>
        <v>2.93539404012884</v>
      </c>
      <c r="AG95" s="106">
        <f t="shared" si="50"/>
        <v>0.646240362811792</v>
      </c>
      <c r="AH95" s="106">
        <f t="shared" si="51"/>
        <v>0.437849784689927</v>
      </c>
      <c r="AI95" s="107">
        <f t="shared" si="62"/>
        <v>1.08409014750172</v>
      </c>
      <c r="AJ95" s="105">
        <f t="shared" si="63"/>
        <v>1.17333333333333</v>
      </c>
      <c r="AK95" s="106">
        <f t="shared" si="64"/>
        <v>2.29767152079002</v>
      </c>
      <c r="AL95" s="106">
        <f t="shared" si="65"/>
        <v>0.727466666666667</v>
      </c>
      <c r="AM95" s="106">
        <f t="shared" si="52"/>
        <v>0</v>
      </c>
      <c r="AN95" s="107">
        <f t="shared" si="66"/>
        <v>0.727466666666667</v>
      </c>
      <c r="AO95" s="105">
        <f t="shared" si="53"/>
        <v>0.430826908541194</v>
      </c>
      <c r="AP95" s="106">
        <f t="shared" si="54"/>
        <v>0.108</v>
      </c>
      <c r="AQ95" s="107">
        <f t="shared" si="67"/>
        <v>0.0132</v>
      </c>
      <c r="AR95" s="105">
        <f t="shared" si="68"/>
        <v>2.36358372270958</v>
      </c>
      <c r="AS95" s="106">
        <f t="shared" si="69"/>
        <v>11.7333333333333</v>
      </c>
      <c r="AT95" s="107">
        <f t="shared" si="70"/>
        <v>83.2333288667795</v>
      </c>
    </row>
    <row r="96" spans="17:46">
      <c r="Q96">
        <v>89</v>
      </c>
      <c r="R96" s="105">
        <f t="shared" si="43"/>
        <v>10</v>
      </c>
      <c r="S96" s="106">
        <f t="shared" si="44"/>
        <v>1.18666666666667</v>
      </c>
      <c r="T96" s="106">
        <f t="shared" si="45"/>
        <v>4</v>
      </c>
      <c r="U96" s="107">
        <f t="shared" si="46"/>
        <v>2.96666666666667</v>
      </c>
      <c r="V96" s="105">
        <f t="shared" si="47"/>
        <v>2</v>
      </c>
      <c r="W96" s="106">
        <f t="shared" si="48"/>
        <v>0.714285714285714</v>
      </c>
      <c r="X96" s="107">
        <f t="shared" si="49"/>
        <v>0.285714285714286</v>
      </c>
      <c r="Y96" s="105">
        <f t="shared" si="55"/>
        <v>0.380952380952381</v>
      </c>
      <c r="Z96" s="106">
        <f t="shared" si="56"/>
        <v>4.53428571428571</v>
      </c>
      <c r="AA96" s="106">
        <f t="shared" si="57"/>
        <v>2.96870423543514</v>
      </c>
      <c r="AB96" s="106">
        <v>0</v>
      </c>
      <c r="AC96" s="106">
        <f t="shared" si="58"/>
        <v>0.0881320483749055</v>
      </c>
      <c r="AD96" s="107">
        <f t="shared" si="59"/>
        <v>0.0881320483749055</v>
      </c>
      <c r="AE96" s="105">
        <f t="shared" si="60"/>
        <v>2.51460317460317</v>
      </c>
      <c r="AF96" s="106">
        <f t="shared" si="61"/>
        <v>2.96870423543514</v>
      </c>
      <c r="AG96" s="106">
        <f t="shared" si="50"/>
        <v>0.660990362811791</v>
      </c>
      <c r="AH96" s="106">
        <f t="shared" si="51"/>
        <v>0.442825350425039</v>
      </c>
      <c r="AI96" s="107">
        <f t="shared" si="62"/>
        <v>1.10381571323683</v>
      </c>
      <c r="AJ96" s="105">
        <f t="shared" si="63"/>
        <v>1.18666666666667</v>
      </c>
      <c r="AK96" s="106">
        <f t="shared" si="64"/>
        <v>2.32260782653082</v>
      </c>
      <c r="AL96" s="106">
        <f t="shared" si="65"/>
        <v>0.735733333333333</v>
      </c>
      <c r="AM96" s="106">
        <f t="shared" si="52"/>
        <v>0</v>
      </c>
      <c r="AN96" s="107">
        <f t="shared" si="66"/>
        <v>0.735733333333333</v>
      </c>
      <c r="AO96" s="105">
        <f t="shared" si="53"/>
        <v>0.440660241874528</v>
      </c>
      <c r="AP96" s="106">
        <f t="shared" si="54"/>
        <v>0.108</v>
      </c>
      <c r="AQ96" s="107">
        <f t="shared" si="67"/>
        <v>0.0132</v>
      </c>
      <c r="AR96" s="105">
        <f t="shared" si="68"/>
        <v>2.40140928844469</v>
      </c>
      <c r="AS96" s="106">
        <f t="shared" si="69"/>
        <v>11.8666666666667</v>
      </c>
      <c r="AT96" s="107">
        <f t="shared" si="70"/>
        <v>83.1693544665746</v>
      </c>
    </row>
    <row r="97" spans="17:46">
      <c r="Q97">
        <v>90</v>
      </c>
      <c r="R97" s="105">
        <f t="shared" si="43"/>
        <v>10</v>
      </c>
      <c r="S97" s="106">
        <f t="shared" si="44"/>
        <v>1.2</v>
      </c>
      <c r="T97" s="106">
        <f t="shared" si="45"/>
        <v>4</v>
      </c>
      <c r="U97" s="107">
        <f t="shared" si="46"/>
        <v>3</v>
      </c>
      <c r="V97" s="105">
        <f t="shared" si="47"/>
        <v>2</v>
      </c>
      <c r="W97" s="106">
        <f t="shared" si="48"/>
        <v>0.714285714285714</v>
      </c>
      <c r="X97" s="107">
        <f t="shared" si="49"/>
        <v>0.285714285714286</v>
      </c>
      <c r="Y97" s="105">
        <f t="shared" si="55"/>
        <v>0.380952380952381</v>
      </c>
      <c r="Z97" s="106">
        <f t="shared" si="56"/>
        <v>4.58095238095238</v>
      </c>
      <c r="AA97" s="106">
        <f t="shared" si="57"/>
        <v>3.00201494439642</v>
      </c>
      <c r="AB97" s="106">
        <v>0</v>
      </c>
      <c r="AC97" s="106">
        <f t="shared" si="58"/>
        <v>0.0901209372637944</v>
      </c>
      <c r="AD97" s="107">
        <f t="shared" si="59"/>
        <v>0.0901209372637944</v>
      </c>
      <c r="AE97" s="105">
        <f t="shared" si="60"/>
        <v>2.57142857142857</v>
      </c>
      <c r="AF97" s="106">
        <f t="shared" si="61"/>
        <v>3.00201494439642</v>
      </c>
      <c r="AG97" s="106">
        <f t="shared" si="50"/>
        <v>0.675907029478458</v>
      </c>
      <c r="AH97" s="106">
        <f t="shared" si="51"/>
        <v>0.447800916160152</v>
      </c>
      <c r="AI97" s="107">
        <f t="shared" si="62"/>
        <v>1.12370794563861</v>
      </c>
      <c r="AJ97" s="105">
        <f t="shared" si="63"/>
        <v>1.2</v>
      </c>
      <c r="AK97" s="106">
        <f t="shared" si="64"/>
        <v>2.3475443038885</v>
      </c>
      <c r="AL97" s="106">
        <f t="shared" si="65"/>
        <v>0.744</v>
      </c>
      <c r="AM97" s="106">
        <f t="shared" si="52"/>
        <v>0</v>
      </c>
      <c r="AN97" s="107">
        <f t="shared" si="66"/>
        <v>0.744</v>
      </c>
      <c r="AO97" s="105">
        <f t="shared" si="53"/>
        <v>0.450604686318972</v>
      </c>
      <c r="AP97" s="106">
        <f t="shared" si="54"/>
        <v>0.108</v>
      </c>
      <c r="AQ97" s="107">
        <f t="shared" si="67"/>
        <v>0.0132</v>
      </c>
      <c r="AR97" s="105">
        <f t="shared" si="68"/>
        <v>2.43951263195758</v>
      </c>
      <c r="AS97" s="106">
        <f t="shared" si="69"/>
        <v>12</v>
      </c>
      <c r="AT97" s="107">
        <f t="shared" si="70"/>
        <v>83.1052979824371</v>
      </c>
    </row>
    <row r="98" spans="17:46">
      <c r="Q98">
        <v>91</v>
      </c>
      <c r="R98" s="105">
        <f t="shared" si="43"/>
        <v>10</v>
      </c>
      <c r="S98" s="106">
        <f t="shared" si="44"/>
        <v>1.21333333333333</v>
      </c>
      <c r="T98" s="106">
        <f t="shared" si="45"/>
        <v>4</v>
      </c>
      <c r="U98" s="107">
        <f t="shared" si="46"/>
        <v>3.03333333333333</v>
      </c>
      <c r="V98" s="105">
        <f t="shared" si="47"/>
        <v>2</v>
      </c>
      <c r="W98" s="106">
        <f t="shared" si="48"/>
        <v>0.714285714285714</v>
      </c>
      <c r="X98" s="107">
        <f t="shared" si="49"/>
        <v>0.285714285714286</v>
      </c>
      <c r="Y98" s="105">
        <f t="shared" si="55"/>
        <v>0.380952380952381</v>
      </c>
      <c r="Z98" s="106">
        <f t="shared" si="56"/>
        <v>4.62761904761905</v>
      </c>
      <c r="AA98" s="106">
        <f t="shared" si="57"/>
        <v>3.03532615010159</v>
      </c>
      <c r="AB98" s="106">
        <v>0</v>
      </c>
      <c r="AC98" s="106">
        <f t="shared" si="58"/>
        <v>0.0921320483749055</v>
      </c>
      <c r="AD98" s="107">
        <f t="shared" si="59"/>
        <v>0.0921320483749055</v>
      </c>
      <c r="AE98" s="105">
        <f t="shared" si="60"/>
        <v>2.62888888888889</v>
      </c>
      <c r="AF98" s="106">
        <f t="shared" si="61"/>
        <v>3.03532615010159</v>
      </c>
      <c r="AG98" s="106">
        <f t="shared" si="50"/>
        <v>0.690990362811791</v>
      </c>
      <c r="AH98" s="106">
        <f t="shared" si="51"/>
        <v>0.452776481895265</v>
      </c>
      <c r="AI98" s="107">
        <f t="shared" si="62"/>
        <v>1.14376684470706</v>
      </c>
      <c r="AJ98" s="105">
        <f t="shared" si="63"/>
        <v>1.21333333333333</v>
      </c>
      <c r="AK98" s="106">
        <f t="shared" si="64"/>
        <v>2.37248094745162</v>
      </c>
      <c r="AL98" s="106">
        <f t="shared" si="65"/>
        <v>0.752266666666667</v>
      </c>
      <c r="AM98" s="106">
        <f t="shared" si="52"/>
        <v>0</v>
      </c>
      <c r="AN98" s="107">
        <f t="shared" si="66"/>
        <v>0.752266666666667</v>
      </c>
      <c r="AO98" s="105">
        <f t="shared" si="53"/>
        <v>0.460660241874527</v>
      </c>
      <c r="AP98" s="106">
        <f t="shared" si="54"/>
        <v>0.108</v>
      </c>
      <c r="AQ98" s="107">
        <f t="shared" si="67"/>
        <v>0.0132</v>
      </c>
      <c r="AR98" s="105">
        <f t="shared" si="68"/>
        <v>2.47789375324825</v>
      </c>
      <c r="AS98" s="106">
        <f t="shared" si="69"/>
        <v>12.1333333333333</v>
      </c>
      <c r="AT98" s="107">
        <f t="shared" si="70"/>
        <v>83.0411659570752</v>
      </c>
    </row>
    <row r="99" spans="17:46">
      <c r="Q99">
        <v>92</v>
      </c>
      <c r="R99" s="105">
        <f t="shared" si="43"/>
        <v>10</v>
      </c>
      <c r="S99" s="106">
        <f t="shared" si="44"/>
        <v>1.22666666666667</v>
      </c>
      <c r="T99" s="106">
        <f t="shared" si="45"/>
        <v>4</v>
      </c>
      <c r="U99" s="107">
        <f t="shared" si="46"/>
        <v>3.06666666666667</v>
      </c>
      <c r="V99" s="105">
        <f t="shared" si="47"/>
        <v>2</v>
      </c>
      <c r="W99" s="106">
        <f t="shared" si="48"/>
        <v>0.714285714285714</v>
      </c>
      <c r="X99" s="107">
        <f t="shared" si="49"/>
        <v>0.285714285714286</v>
      </c>
      <c r="Y99" s="105">
        <f t="shared" si="55"/>
        <v>0.380952380952381</v>
      </c>
      <c r="Z99" s="106">
        <f t="shared" si="56"/>
        <v>4.67428571428572</v>
      </c>
      <c r="AA99" s="106">
        <f t="shared" si="57"/>
        <v>3.06863783637364</v>
      </c>
      <c r="AB99" s="106">
        <v>0</v>
      </c>
      <c r="AC99" s="106">
        <f t="shared" si="58"/>
        <v>0.0941653817082389</v>
      </c>
      <c r="AD99" s="107">
        <f t="shared" si="59"/>
        <v>0.0941653817082389</v>
      </c>
      <c r="AE99" s="105">
        <f t="shared" si="60"/>
        <v>2.68698412698413</v>
      </c>
      <c r="AF99" s="106">
        <f t="shared" si="61"/>
        <v>3.06863783637364</v>
      </c>
      <c r="AG99" s="106">
        <f t="shared" si="50"/>
        <v>0.706240362811791</v>
      </c>
      <c r="AH99" s="106">
        <f t="shared" si="51"/>
        <v>0.457752047630378</v>
      </c>
      <c r="AI99" s="107">
        <f t="shared" si="62"/>
        <v>1.16399241044217</v>
      </c>
      <c r="AJ99" s="105">
        <f t="shared" si="63"/>
        <v>1.22666666666667</v>
      </c>
      <c r="AK99" s="106">
        <f t="shared" si="64"/>
        <v>2.39741775203384</v>
      </c>
      <c r="AL99" s="106">
        <f t="shared" si="65"/>
        <v>0.760533333333333</v>
      </c>
      <c r="AM99" s="106">
        <f t="shared" si="52"/>
        <v>0</v>
      </c>
      <c r="AN99" s="107">
        <f t="shared" si="66"/>
        <v>0.760533333333333</v>
      </c>
      <c r="AO99" s="105">
        <f t="shared" si="53"/>
        <v>0.470826908541194</v>
      </c>
      <c r="AP99" s="106">
        <f t="shared" si="54"/>
        <v>0.108</v>
      </c>
      <c r="AQ99" s="107">
        <f t="shared" si="67"/>
        <v>0.0132</v>
      </c>
      <c r="AR99" s="105">
        <f t="shared" si="68"/>
        <v>2.5165526523167</v>
      </c>
      <c r="AS99" s="106">
        <f t="shared" si="69"/>
        <v>12.2666666666667</v>
      </c>
      <c r="AT99" s="107">
        <f t="shared" si="70"/>
        <v>82.976964637972</v>
      </c>
    </row>
    <row r="100" spans="17:46">
      <c r="Q100">
        <v>93</v>
      </c>
      <c r="R100" s="105">
        <f t="shared" si="43"/>
        <v>10</v>
      </c>
      <c r="S100" s="106">
        <f t="shared" si="44"/>
        <v>1.24</v>
      </c>
      <c r="T100" s="106">
        <f t="shared" si="45"/>
        <v>4</v>
      </c>
      <c r="U100" s="107">
        <f t="shared" si="46"/>
        <v>3.1</v>
      </c>
      <c r="V100" s="105">
        <f t="shared" si="47"/>
        <v>2</v>
      </c>
      <c r="W100" s="106">
        <f t="shared" si="48"/>
        <v>0.714285714285714</v>
      </c>
      <c r="X100" s="107">
        <f t="shared" si="49"/>
        <v>0.285714285714286</v>
      </c>
      <c r="Y100" s="105">
        <f t="shared" si="55"/>
        <v>0.380952380952381</v>
      </c>
      <c r="Z100" s="106">
        <f t="shared" si="56"/>
        <v>4.72095238095238</v>
      </c>
      <c r="AA100" s="106">
        <f t="shared" si="57"/>
        <v>3.10194998773021</v>
      </c>
      <c r="AB100" s="106">
        <v>0</v>
      </c>
      <c r="AC100" s="106">
        <f t="shared" si="58"/>
        <v>0.0962209372637944</v>
      </c>
      <c r="AD100" s="107">
        <f t="shared" si="59"/>
        <v>0.0962209372637944</v>
      </c>
      <c r="AE100" s="105">
        <f t="shared" si="60"/>
        <v>2.74571428571429</v>
      </c>
      <c r="AF100" s="106">
        <f t="shared" si="61"/>
        <v>3.10194998773021</v>
      </c>
      <c r="AG100" s="106">
        <f t="shared" si="50"/>
        <v>0.721657029478458</v>
      </c>
      <c r="AH100" s="106">
        <f t="shared" si="51"/>
        <v>0.462727613365491</v>
      </c>
      <c r="AI100" s="107">
        <f t="shared" si="62"/>
        <v>1.18438464284395</v>
      </c>
      <c r="AJ100" s="105">
        <f t="shared" si="63"/>
        <v>1.24</v>
      </c>
      <c r="AK100" s="106">
        <f t="shared" si="64"/>
        <v>2.42235471266234</v>
      </c>
      <c r="AL100" s="106">
        <f t="shared" si="65"/>
        <v>0.7688</v>
      </c>
      <c r="AM100" s="106">
        <f t="shared" si="52"/>
        <v>0</v>
      </c>
      <c r="AN100" s="107">
        <f t="shared" si="66"/>
        <v>0.7688</v>
      </c>
      <c r="AO100" s="105">
        <f t="shared" si="53"/>
        <v>0.481104686318972</v>
      </c>
      <c r="AP100" s="106">
        <f t="shared" si="54"/>
        <v>0.108</v>
      </c>
      <c r="AQ100" s="107">
        <f t="shared" si="67"/>
        <v>0.0132</v>
      </c>
      <c r="AR100" s="105">
        <f t="shared" si="68"/>
        <v>2.55548932916292</v>
      </c>
      <c r="AS100" s="106">
        <f t="shared" si="69"/>
        <v>12.4</v>
      </c>
      <c r="AT100" s="107">
        <f t="shared" si="70"/>
        <v>82.912699993174</v>
      </c>
    </row>
    <row r="101" spans="17:46">
      <c r="Q101">
        <v>94</v>
      </c>
      <c r="R101" s="105">
        <f t="shared" si="43"/>
        <v>10</v>
      </c>
      <c r="S101" s="106">
        <f t="shared" si="44"/>
        <v>1.25333333333333</v>
      </c>
      <c r="T101" s="106">
        <f t="shared" si="45"/>
        <v>4</v>
      </c>
      <c r="U101" s="107">
        <f t="shared" si="46"/>
        <v>3.13333333333333</v>
      </c>
      <c r="V101" s="105">
        <f t="shared" si="47"/>
        <v>2</v>
      </c>
      <c r="W101" s="106">
        <f t="shared" si="48"/>
        <v>0.714285714285714</v>
      </c>
      <c r="X101" s="107">
        <f t="shared" si="49"/>
        <v>0.285714285714286</v>
      </c>
      <c r="Y101" s="105">
        <f t="shared" si="55"/>
        <v>0.380952380952381</v>
      </c>
      <c r="Z101" s="106">
        <f t="shared" si="56"/>
        <v>4.76761904761905</v>
      </c>
      <c r="AA101" s="106">
        <f t="shared" si="57"/>
        <v>3.13526258934674</v>
      </c>
      <c r="AB101" s="106">
        <v>0</v>
      </c>
      <c r="AC101" s="106">
        <f t="shared" si="58"/>
        <v>0.0982987150415722</v>
      </c>
      <c r="AD101" s="107">
        <f t="shared" si="59"/>
        <v>0.0982987150415722</v>
      </c>
      <c r="AE101" s="105">
        <f t="shared" si="60"/>
        <v>2.80507936507937</v>
      </c>
      <c r="AF101" s="106">
        <f t="shared" si="61"/>
        <v>3.13526258934674</v>
      </c>
      <c r="AG101" s="106">
        <f t="shared" si="50"/>
        <v>0.737240362811792</v>
      </c>
      <c r="AH101" s="106">
        <f t="shared" si="51"/>
        <v>0.467703179100603</v>
      </c>
      <c r="AI101" s="107">
        <f t="shared" si="62"/>
        <v>1.2049435419124</v>
      </c>
      <c r="AJ101" s="105">
        <f t="shared" si="63"/>
        <v>1.25333333333333</v>
      </c>
      <c r="AK101" s="106">
        <f t="shared" si="64"/>
        <v>2.44729182456698</v>
      </c>
      <c r="AL101" s="106">
        <f t="shared" si="65"/>
        <v>0.777066666666667</v>
      </c>
      <c r="AM101" s="106">
        <f t="shared" si="52"/>
        <v>0</v>
      </c>
      <c r="AN101" s="107">
        <f t="shared" si="66"/>
        <v>0.777066666666667</v>
      </c>
      <c r="AO101" s="105">
        <f t="shared" si="53"/>
        <v>0.491493575207861</v>
      </c>
      <c r="AP101" s="106">
        <f t="shared" si="54"/>
        <v>0.108</v>
      </c>
      <c r="AQ101" s="107">
        <f t="shared" si="67"/>
        <v>0.0132</v>
      </c>
      <c r="AR101" s="105">
        <f t="shared" si="68"/>
        <v>2.59470378378692</v>
      </c>
      <c r="AS101" s="106">
        <f t="shared" si="69"/>
        <v>12.5333333333333</v>
      </c>
      <c r="AT101" s="107">
        <f t="shared" si="70"/>
        <v>82.8483777260797</v>
      </c>
    </row>
    <row r="102" spans="17:46">
      <c r="Q102">
        <v>95</v>
      </c>
      <c r="R102" s="105">
        <f t="shared" si="43"/>
        <v>10</v>
      </c>
      <c r="S102" s="106">
        <f t="shared" si="44"/>
        <v>1.26666666666667</v>
      </c>
      <c r="T102" s="106">
        <f t="shared" si="45"/>
        <v>4</v>
      </c>
      <c r="U102" s="107">
        <f t="shared" si="46"/>
        <v>3.16666666666667</v>
      </c>
      <c r="V102" s="105">
        <f t="shared" si="47"/>
        <v>2</v>
      </c>
      <c r="W102" s="106">
        <f t="shared" si="48"/>
        <v>0.714285714285714</v>
      </c>
      <c r="X102" s="107">
        <f t="shared" si="49"/>
        <v>0.285714285714286</v>
      </c>
      <c r="Y102" s="105">
        <f t="shared" si="55"/>
        <v>0.380952380952381</v>
      </c>
      <c r="Z102" s="106">
        <f t="shared" si="56"/>
        <v>4.81428571428571</v>
      </c>
      <c r="AA102" s="106">
        <f t="shared" si="57"/>
        <v>3.1685756270219</v>
      </c>
      <c r="AB102" s="106">
        <v>0</v>
      </c>
      <c r="AC102" s="106">
        <f t="shared" si="58"/>
        <v>0.100398715041572</v>
      </c>
      <c r="AD102" s="107">
        <f t="shared" si="59"/>
        <v>0.100398715041572</v>
      </c>
      <c r="AE102" s="105">
        <f t="shared" si="60"/>
        <v>2.86507936507937</v>
      </c>
      <c r="AF102" s="106">
        <f t="shared" si="61"/>
        <v>3.1685756270219</v>
      </c>
      <c r="AG102" s="106">
        <f t="shared" si="50"/>
        <v>0.752990362811792</v>
      </c>
      <c r="AH102" s="106">
        <f t="shared" si="51"/>
        <v>0.472678744835716</v>
      </c>
      <c r="AI102" s="107">
        <f t="shared" si="62"/>
        <v>1.22566910764751</v>
      </c>
      <c r="AJ102" s="105">
        <f t="shared" si="63"/>
        <v>1.26666666666667</v>
      </c>
      <c r="AK102" s="106">
        <f t="shared" si="64"/>
        <v>2.47222908317003</v>
      </c>
      <c r="AL102" s="106">
        <f t="shared" si="65"/>
        <v>0.785333333333333</v>
      </c>
      <c r="AM102" s="106">
        <f t="shared" si="52"/>
        <v>0</v>
      </c>
      <c r="AN102" s="107">
        <f t="shared" si="66"/>
        <v>0.785333333333333</v>
      </c>
      <c r="AO102" s="105">
        <f t="shared" si="53"/>
        <v>0.501993575207861</v>
      </c>
      <c r="AP102" s="106">
        <f t="shared" si="54"/>
        <v>0.108</v>
      </c>
      <c r="AQ102" s="107">
        <f t="shared" si="67"/>
        <v>0.0132</v>
      </c>
      <c r="AR102" s="105">
        <f t="shared" si="68"/>
        <v>2.6341960161887</v>
      </c>
      <c r="AS102" s="106">
        <f t="shared" si="69"/>
        <v>12.6666666666667</v>
      </c>
      <c r="AT102" s="107">
        <f t="shared" si="70"/>
        <v>82.7840032893026</v>
      </c>
    </row>
    <row r="103" spans="17:46">
      <c r="Q103">
        <v>96</v>
      </c>
      <c r="R103" s="105">
        <f t="shared" si="43"/>
        <v>10</v>
      </c>
      <c r="S103" s="106">
        <f t="shared" ref="S103:S134" si="71">Q103*$O$12</f>
        <v>1.28</v>
      </c>
      <c r="T103" s="106">
        <f t="shared" si="45"/>
        <v>4</v>
      </c>
      <c r="U103" s="107">
        <f t="shared" ref="U103:U134" si="72">(R103*S103)/(T103*EFF_est)</f>
        <v>3.2</v>
      </c>
      <c r="V103" s="105">
        <f t="shared" ref="V103:V134" si="73">IF(S103&lt;((T103^2)*R103)/(2*Fsw*Lm*((T103+R103)^2)),1,2)</f>
        <v>2</v>
      </c>
      <c r="W103" s="106">
        <f t="shared" ref="W103:W134" si="74">CHOOSE(V103,SQRT(2*Lm*R103*S103*Fsw)/T103,R103/(T103+R103))</f>
        <v>0.714285714285714</v>
      </c>
      <c r="X103" s="107">
        <f t="shared" ref="X103:X134" si="75">CHOOSE(V103,(Lm*Z103*Fsw)/(R103),1-W103)</f>
        <v>0.285714285714286</v>
      </c>
      <c r="Y103" s="105">
        <f t="shared" si="55"/>
        <v>0.380952380952381</v>
      </c>
      <c r="Z103" s="106">
        <f t="shared" si="56"/>
        <v>4.86095238095238</v>
      </c>
      <c r="AA103" s="106">
        <f t="shared" si="57"/>
        <v>3.20188908714519</v>
      </c>
      <c r="AB103" s="106">
        <v>0</v>
      </c>
      <c r="AC103" s="106">
        <f t="shared" si="58"/>
        <v>0.102520937263794</v>
      </c>
      <c r="AD103" s="107">
        <f t="shared" si="59"/>
        <v>0.102520937263794</v>
      </c>
      <c r="AE103" s="105">
        <f t="shared" si="60"/>
        <v>2.92571428571429</v>
      </c>
      <c r="AF103" s="106">
        <f t="shared" si="61"/>
        <v>3.20188908714519</v>
      </c>
      <c r="AG103" s="106">
        <f t="shared" ref="AG103:AG134" si="76">(AF103^2)*RDS_on</f>
        <v>0.768907029478458</v>
      </c>
      <c r="AH103" s="106">
        <f t="shared" ref="AH103:AH134" si="77">(((R103+T103)*(U103+S103))/2)*Fsw*(tr_sw+tf_sw)</f>
        <v>0.477654310570829</v>
      </c>
      <c r="AI103" s="107">
        <f t="shared" si="62"/>
        <v>1.24656134004929</v>
      </c>
      <c r="AJ103" s="105">
        <f t="shared" si="63"/>
        <v>1.28</v>
      </c>
      <c r="AK103" s="106">
        <f t="shared" si="64"/>
        <v>2.49716648407661</v>
      </c>
      <c r="AL103" s="106">
        <f t="shared" si="65"/>
        <v>0.7936</v>
      </c>
      <c r="AM103" s="106">
        <f t="shared" ref="AM103:AM134" si="78">(R103+T103+Vd_rect)*Qrr*Fsw</f>
        <v>0</v>
      </c>
      <c r="AN103" s="107">
        <f t="shared" si="66"/>
        <v>0.7936</v>
      </c>
      <c r="AO103" s="105">
        <f t="shared" ref="AO103:AO134" si="79">(AF103^2)*R_cs</f>
        <v>0.512604686318972</v>
      </c>
      <c r="AP103" s="106">
        <f t="shared" si="54"/>
        <v>0.108</v>
      </c>
      <c r="AQ103" s="107">
        <f t="shared" si="67"/>
        <v>0.0132</v>
      </c>
      <c r="AR103" s="105">
        <f t="shared" si="68"/>
        <v>2.67396602636826</v>
      </c>
      <c r="AS103" s="106">
        <f t="shared" si="69"/>
        <v>12.8</v>
      </c>
      <c r="AT103" s="107">
        <f t="shared" si="70"/>
        <v>82.7195818976744</v>
      </c>
    </row>
    <row r="104" spans="17:46">
      <c r="Q104">
        <v>97</v>
      </c>
      <c r="R104" s="105">
        <f t="shared" si="43"/>
        <v>10</v>
      </c>
      <c r="S104" s="106">
        <f t="shared" si="71"/>
        <v>1.29333333333333</v>
      </c>
      <c r="T104" s="106">
        <f t="shared" si="45"/>
        <v>4</v>
      </c>
      <c r="U104" s="107">
        <f t="shared" si="72"/>
        <v>3.23333333333333</v>
      </c>
      <c r="V104" s="105">
        <f t="shared" si="73"/>
        <v>2</v>
      </c>
      <c r="W104" s="106">
        <f t="shared" si="74"/>
        <v>0.714285714285714</v>
      </c>
      <c r="X104" s="107">
        <f t="shared" si="75"/>
        <v>0.285714285714286</v>
      </c>
      <c r="Y104" s="105">
        <f t="shared" si="55"/>
        <v>0.380952380952381</v>
      </c>
      <c r="Z104" s="106">
        <f t="shared" si="56"/>
        <v>4.90761904761905</v>
      </c>
      <c r="AA104" s="106">
        <f t="shared" si="57"/>
        <v>3.23520295666653</v>
      </c>
      <c r="AB104" s="106">
        <v>0</v>
      </c>
      <c r="AC104" s="106">
        <f t="shared" si="58"/>
        <v>0.104665381708239</v>
      </c>
      <c r="AD104" s="107">
        <f t="shared" si="59"/>
        <v>0.104665381708239</v>
      </c>
      <c r="AE104" s="105">
        <f t="shared" si="60"/>
        <v>2.98698412698413</v>
      </c>
      <c r="AF104" s="106">
        <f t="shared" si="61"/>
        <v>3.23520295666653</v>
      </c>
      <c r="AG104" s="106">
        <f t="shared" si="76"/>
        <v>0.784990362811791</v>
      </c>
      <c r="AH104" s="106">
        <f t="shared" si="77"/>
        <v>0.482629876305942</v>
      </c>
      <c r="AI104" s="107">
        <f t="shared" si="62"/>
        <v>1.26762023911773</v>
      </c>
      <c r="AJ104" s="105">
        <f t="shared" si="63"/>
        <v>1.29333333333333</v>
      </c>
      <c r="AK104" s="106">
        <f t="shared" si="64"/>
        <v>2.52210402306562</v>
      </c>
      <c r="AL104" s="106">
        <f t="shared" si="65"/>
        <v>0.801866666666667</v>
      </c>
      <c r="AM104" s="106">
        <f t="shared" si="78"/>
        <v>0</v>
      </c>
      <c r="AN104" s="107">
        <f t="shared" si="66"/>
        <v>0.801866666666667</v>
      </c>
      <c r="AO104" s="105">
        <f t="shared" si="79"/>
        <v>0.523326908541194</v>
      </c>
      <c r="AP104" s="106">
        <f t="shared" si="54"/>
        <v>0.108</v>
      </c>
      <c r="AQ104" s="107">
        <f t="shared" si="67"/>
        <v>0.0132</v>
      </c>
      <c r="AR104" s="105">
        <f t="shared" si="68"/>
        <v>2.71401381432559</v>
      </c>
      <c r="AS104" s="106">
        <f t="shared" si="69"/>
        <v>12.9333333333333</v>
      </c>
      <c r="AT104" s="107">
        <f t="shared" si="70"/>
        <v>82.6551185404508</v>
      </c>
    </row>
    <row r="105" spans="17:46">
      <c r="Q105">
        <v>98</v>
      </c>
      <c r="R105" s="105">
        <f t="shared" si="43"/>
        <v>10</v>
      </c>
      <c r="S105" s="106">
        <f t="shared" si="71"/>
        <v>1.30666666666667</v>
      </c>
      <c r="T105" s="106">
        <f t="shared" si="45"/>
        <v>4</v>
      </c>
      <c r="U105" s="107">
        <f t="shared" si="72"/>
        <v>3.26666666666667</v>
      </c>
      <c r="V105" s="105">
        <f t="shared" si="73"/>
        <v>2</v>
      </c>
      <c r="W105" s="106">
        <f t="shared" si="74"/>
        <v>0.714285714285714</v>
      </c>
      <c r="X105" s="107">
        <f t="shared" si="75"/>
        <v>0.285714285714286</v>
      </c>
      <c r="Y105" s="105">
        <f t="shared" si="55"/>
        <v>0.380952380952381</v>
      </c>
      <c r="Z105" s="106">
        <f t="shared" si="56"/>
        <v>4.95428571428571</v>
      </c>
      <c r="AA105" s="106">
        <f t="shared" si="57"/>
        <v>3.26851722306776</v>
      </c>
      <c r="AB105" s="106">
        <v>0</v>
      </c>
      <c r="AC105" s="106">
        <f t="shared" si="58"/>
        <v>0.106832048374906</v>
      </c>
      <c r="AD105" s="107">
        <f t="shared" si="59"/>
        <v>0.106832048374906</v>
      </c>
      <c r="AE105" s="105">
        <f t="shared" si="60"/>
        <v>3.04888888888889</v>
      </c>
      <c r="AF105" s="106">
        <f t="shared" si="61"/>
        <v>3.26851722306776</v>
      </c>
      <c r="AG105" s="106">
        <f t="shared" si="76"/>
        <v>0.801240362811791</v>
      </c>
      <c r="AH105" s="106">
        <f t="shared" si="77"/>
        <v>0.487605442041055</v>
      </c>
      <c r="AI105" s="107">
        <f t="shared" si="62"/>
        <v>1.28884580485285</v>
      </c>
      <c r="AJ105" s="105">
        <f t="shared" si="63"/>
        <v>1.30666666666667</v>
      </c>
      <c r="AK105" s="106">
        <f t="shared" si="64"/>
        <v>2.54704169608126</v>
      </c>
      <c r="AL105" s="106">
        <f t="shared" si="65"/>
        <v>0.810133333333333</v>
      </c>
      <c r="AM105" s="106">
        <f t="shared" si="78"/>
        <v>0</v>
      </c>
      <c r="AN105" s="107">
        <f t="shared" si="66"/>
        <v>0.810133333333333</v>
      </c>
      <c r="AO105" s="105">
        <f t="shared" si="79"/>
        <v>0.534160241874528</v>
      </c>
      <c r="AP105" s="106">
        <f t="shared" si="54"/>
        <v>0.108</v>
      </c>
      <c r="AQ105" s="107">
        <f t="shared" si="67"/>
        <v>0.0132</v>
      </c>
      <c r="AR105" s="105">
        <f t="shared" si="68"/>
        <v>2.75433938006071</v>
      </c>
      <c r="AS105" s="106">
        <f t="shared" si="69"/>
        <v>13.0666666666667</v>
      </c>
      <c r="AT105" s="107">
        <f t="shared" si="70"/>
        <v>82.5906179927764</v>
      </c>
    </row>
    <row r="106" spans="17:46">
      <c r="Q106">
        <v>99</v>
      </c>
      <c r="R106" s="105">
        <f t="shared" si="43"/>
        <v>10</v>
      </c>
      <c r="S106" s="106">
        <f t="shared" si="71"/>
        <v>1.32</v>
      </c>
      <c r="T106" s="106">
        <f t="shared" si="45"/>
        <v>4</v>
      </c>
      <c r="U106" s="107">
        <f t="shared" si="72"/>
        <v>3.3</v>
      </c>
      <c r="V106" s="105">
        <f t="shared" si="73"/>
        <v>2</v>
      </c>
      <c r="W106" s="106">
        <f t="shared" si="74"/>
        <v>0.714285714285714</v>
      </c>
      <c r="X106" s="107">
        <f t="shared" si="75"/>
        <v>0.285714285714286</v>
      </c>
      <c r="Y106" s="105">
        <f t="shared" si="55"/>
        <v>0.380952380952381</v>
      </c>
      <c r="Z106" s="106">
        <f t="shared" si="56"/>
        <v>5.00095238095238</v>
      </c>
      <c r="AA106" s="106">
        <f t="shared" si="57"/>
        <v>3.30183187433574</v>
      </c>
      <c r="AB106" s="106">
        <v>0</v>
      </c>
      <c r="AC106" s="106">
        <f t="shared" si="58"/>
        <v>0.109020937263794</v>
      </c>
      <c r="AD106" s="107">
        <f t="shared" si="59"/>
        <v>0.109020937263794</v>
      </c>
      <c r="AE106" s="105">
        <f t="shared" si="60"/>
        <v>3.11142857142857</v>
      </c>
      <c r="AF106" s="106">
        <f t="shared" si="61"/>
        <v>3.30183187433574</v>
      </c>
      <c r="AG106" s="106">
        <f t="shared" si="76"/>
        <v>0.817657029478458</v>
      </c>
      <c r="AH106" s="106">
        <f t="shared" si="77"/>
        <v>0.492581007776168</v>
      </c>
      <c r="AI106" s="107">
        <f t="shared" si="62"/>
        <v>1.31023803725463</v>
      </c>
      <c r="AJ106" s="105">
        <f t="shared" si="63"/>
        <v>1.32</v>
      </c>
      <c r="AK106" s="106">
        <f t="shared" si="64"/>
        <v>2.57197949922499</v>
      </c>
      <c r="AL106" s="106">
        <f t="shared" si="65"/>
        <v>0.8184</v>
      </c>
      <c r="AM106" s="106">
        <f t="shared" si="78"/>
        <v>0</v>
      </c>
      <c r="AN106" s="107">
        <f t="shared" si="66"/>
        <v>0.8184</v>
      </c>
      <c r="AO106" s="105">
        <f t="shared" si="79"/>
        <v>0.545104686318972</v>
      </c>
      <c r="AP106" s="106">
        <f t="shared" si="54"/>
        <v>0.108</v>
      </c>
      <c r="AQ106" s="107">
        <f t="shared" si="67"/>
        <v>0.0132</v>
      </c>
      <c r="AR106" s="105">
        <f t="shared" si="68"/>
        <v>2.7949427235736</v>
      </c>
      <c r="AS106" s="106">
        <f t="shared" si="69"/>
        <v>13.2</v>
      </c>
      <c r="AT106" s="107">
        <f t="shared" si="70"/>
        <v>82.5260848264598</v>
      </c>
    </row>
    <row r="107" spans="17:46">
      <c r="Q107">
        <v>100</v>
      </c>
      <c r="R107" s="105">
        <f t="shared" si="43"/>
        <v>10</v>
      </c>
      <c r="S107" s="106">
        <f t="shared" si="71"/>
        <v>1.33333333333333</v>
      </c>
      <c r="T107" s="106">
        <f t="shared" si="45"/>
        <v>4</v>
      </c>
      <c r="U107" s="107">
        <f t="shared" si="72"/>
        <v>3.33333333333333</v>
      </c>
      <c r="V107" s="105">
        <f t="shared" si="73"/>
        <v>2</v>
      </c>
      <c r="W107" s="106">
        <f t="shared" si="74"/>
        <v>0.714285714285714</v>
      </c>
      <c r="X107" s="107">
        <f t="shared" si="75"/>
        <v>0.285714285714286</v>
      </c>
      <c r="Y107" s="105">
        <f t="shared" si="55"/>
        <v>0.380952380952381</v>
      </c>
      <c r="Z107" s="106">
        <f t="shared" si="56"/>
        <v>5.04761904761905</v>
      </c>
      <c r="AA107" s="106">
        <f t="shared" si="57"/>
        <v>3.33514689893722</v>
      </c>
      <c r="AB107" s="106">
        <v>0</v>
      </c>
      <c r="AC107" s="106">
        <f t="shared" si="58"/>
        <v>0.111232048374906</v>
      </c>
      <c r="AD107" s="107">
        <f t="shared" si="59"/>
        <v>0.111232048374906</v>
      </c>
      <c r="AE107" s="105">
        <f t="shared" si="60"/>
        <v>3.17460317460318</v>
      </c>
      <c r="AF107" s="106">
        <f t="shared" si="61"/>
        <v>3.33514689893722</v>
      </c>
      <c r="AG107" s="106">
        <f t="shared" si="76"/>
        <v>0.834240362811791</v>
      </c>
      <c r="AH107" s="106">
        <f t="shared" si="77"/>
        <v>0.49755657351128</v>
      </c>
      <c r="AI107" s="107">
        <f t="shared" si="62"/>
        <v>1.33179693632307</v>
      </c>
      <c r="AJ107" s="105">
        <f t="shared" si="63"/>
        <v>1.33333333333333</v>
      </c>
      <c r="AK107" s="106">
        <f t="shared" si="64"/>
        <v>2.59691742874802</v>
      </c>
      <c r="AL107" s="106">
        <f t="shared" si="65"/>
        <v>0.826666666666667</v>
      </c>
      <c r="AM107" s="106">
        <f t="shared" si="78"/>
        <v>0</v>
      </c>
      <c r="AN107" s="107">
        <f t="shared" si="66"/>
        <v>0.826666666666667</v>
      </c>
      <c r="AO107" s="105">
        <f t="shared" si="79"/>
        <v>0.556160241874528</v>
      </c>
      <c r="AP107" s="106">
        <f t="shared" si="54"/>
        <v>0.108</v>
      </c>
      <c r="AQ107" s="107">
        <f t="shared" si="67"/>
        <v>0.0132</v>
      </c>
      <c r="AR107" s="105">
        <f t="shared" si="68"/>
        <v>2.83582384486427</v>
      </c>
      <c r="AS107" s="106">
        <f t="shared" si="69"/>
        <v>13.3333333333333</v>
      </c>
      <c r="AT107" s="107">
        <f t="shared" si="70"/>
        <v>82.4615234201071</v>
      </c>
    </row>
    <row r="108" spans="17:46">
      <c r="Q108">
        <v>101</v>
      </c>
      <c r="R108" s="105">
        <f t="shared" si="43"/>
        <v>10</v>
      </c>
      <c r="S108" s="106">
        <f t="shared" si="71"/>
        <v>1.34666666666667</v>
      </c>
      <c r="T108" s="106">
        <f t="shared" si="45"/>
        <v>4</v>
      </c>
      <c r="U108" s="107">
        <f t="shared" si="72"/>
        <v>3.36666666666667</v>
      </c>
      <c r="V108" s="105">
        <f t="shared" si="73"/>
        <v>2</v>
      </c>
      <c r="W108" s="106">
        <f t="shared" si="74"/>
        <v>0.714285714285714</v>
      </c>
      <c r="X108" s="107">
        <f t="shared" si="75"/>
        <v>0.285714285714286</v>
      </c>
      <c r="Y108" s="105">
        <f t="shared" si="55"/>
        <v>0.380952380952381</v>
      </c>
      <c r="Z108" s="106">
        <f t="shared" si="56"/>
        <v>5.09428571428571</v>
      </c>
      <c r="AA108" s="106">
        <f t="shared" si="57"/>
        <v>3.36846228579509</v>
      </c>
      <c r="AB108" s="106">
        <v>0</v>
      </c>
      <c r="AC108" s="106">
        <f t="shared" si="58"/>
        <v>0.113465381708239</v>
      </c>
      <c r="AD108" s="107">
        <f t="shared" si="59"/>
        <v>0.113465381708239</v>
      </c>
      <c r="AE108" s="105">
        <f t="shared" si="60"/>
        <v>3.2384126984127</v>
      </c>
      <c r="AF108" s="106">
        <f t="shared" si="61"/>
        <v>3.36846228579509</v>
      </c>
      <c r="AG108" s="106">
        <f t="shared" si="76"/>
        <v>0.850990362811791</v>
      </c>
      <c r="AH108" s="106">
        <f t="shared" si="77"/>
        <v>0.502532139246393</v>
      </c>
      <c r="AI108" s="107">
        <f t="shared" si="62"/>
        <v>1.35352250205818</v>
      </c>
      <c r="AJ108" s="105">
        <f t="shared" si="63"/>
        <v>1.34666666666667</v>
      </c>
      <c r="AK108" s="106">
        <f t="shared" si="64"/>
        <v>2.62185548104415</v>
      </c>
      <c r="AL108" s="106">
        <f t="shared" si="65"/>
        <v>0.834933333333333</v>
      </c>
      <c r="AM108" s="106">
        <f t="shared" si="78"/>
        <v>0</v>
      </c>
      <c r="AN108" s="107">
        <f t="shared" si="66"/>
        <v>0.834933333333333</v>
      </c>
      <c r="AO108" s="105">
        <f t="shared" si="79"/>
        <v>0.567326908541194</v>
      </c>
      <c r="AP108" s="106">
        <f t="shared" si="54"/>
        <v>0.108</v>
      </c>
      <c r="AQ108" s="107">
        <f t="shared" si="67"/>
        <v>0.0132</v>
      </c>
      <c r="AR108" s="105">
        <f t="shared" si="68"/>
        <v>2.87698274393271</v>
      </c>
      <c r="AS108" s="106">
        <f t="shared" si="69"/>
        <v>13.4666666666667</v>
      </c>
      <c r="AT108" s="107">
        <f t="shared" si="70"/>
        <v>82.396937968659</v>
      </c>
    </row>
    <row r="109" spans="17:46">
      <c r="Q109">
        <v>102</v>
      </c>
      <c r="R109" s="105">
        <f t="shared" si="43"/>
        <v>10</v>
      </c>
      <c r="S109" s="106">
        <f t="shared" si="71"/>
        <v>1.36</v>
      </c>
      <c r="T109" s="106">
        <f t="shared" si="45"/>
        <v>4</v>
      </c>
      <c r="U109" s="107">
        <f t="shared" si="72"/>
        <v>3.4</v>
      </c>
      <c r="V109" s="105">
        <f t="shared" si="73"/>
        <v>2</v>
      </c>
      <c r="W109" s="106">
        <f t="shared" si="74"/>
        <v>0.714285714285714</v>
      </c>
      <c r="X109" s="107">
        <f t="shared" si="75"/>
        <v>0.285714285714286</v>
      </c>
      <c r="Y109" s="105">
        <f t="shared" si="55"/>
        <v>0.380952380952381</v>
      </c>
      <c r="Z109" s="106">
        <f t="shared" si="56"/>
        <v>5.14095238095238</v>
      </c>
      <c r="AA109" s="106">
        <f t="shared" si="57"/>
        <v>3.40177802426605</v>
      </c>
      <c r="AB109" s="106">
        <v>0</v>
      </c>
      <c r="AC109" s="106">
        <f t="shared" si="58"/>
        <v>0.115720937263794</v>
      </c>
      <c r="AD109" s="107">
        <f t="shared" si="59"/>
        <v>0.115720937263794</v>
      </c>
      <c r="AE109" s="105">
        <f t="shared" si="60"/>
        <v>3.30285714285714</v>
      </c>
      <c r="AF109" s="106">
        <f t="shared" si="61"/>
        <v>3.40177802426605</v>
      </c>
      <c r="AG109" s="106">
        <f t="shared" si="76"/>
        <v>0.867907029478458</v>
      </c>
      <c r="AH109" s="106">
        <f t="shared" si="77"/>
        <v>0.507507704981506</v>
      </c>
      <c r="AI109" s="107">
        <f t="shared" si="62"/>
        <v>1.37541473445996</v>
      </c>
      <c r="AJ109" s="105">
        <f t="shared" si="63"/>
        <v>1.36</v>
      </c>
      <c r="AK109" s="106">
        <f t="shared" si="64"/>
        <v>2.64679365264309</v>
      </c>
      <c r="AL109" s="106">
        <f t="shared" si="65"/>
        <v>0.8432</v>
      </c>
      <c r="AM109" s="106">
        <f t="shared" si="78"/>
        <v>0</v>
      </c>
      <c r="AN109" s="107">
        <f t="shared" si="66"/>
        <v>0.8432</v>
      </c>
      <c r="AO109" s="105">
        <f t="shared" si="79"/>
        <v>0.578604686318972</v>
      </c>
      <c r="AP109" s="106">
        <f t="shared" si="54"/>
        <v>0.108</v>
      </c>
      <c r="AQ109" s="107">
        <f t="shared" si="67"/>
        <v>0.0132</v>
      </c>
      <c r="AR109" s="105">
        <f t="shared" si="68"/>
        <v>2.91841942077894</v>
      </c>
      <c r="AS109" s="106">
        <f t="shared" si="69"/>
        <v>13.6</v>
      </c>
      <c r="AT109" s="107">
        <f t="shared" si="70"/>
        <v>82.3323324923704</v>
      </c>
    </row>
    <row r="110" spans="17:46">
      <c r="Q110">
        <v>103</v>
      </c>
      <c r="R110" s="105">
        <f t="shared" si="43"/>
        <v>10</v>
      </c>
      <c r="S110" s="106">
        <f t="shared" si="71"/>
        <v>1.37333333333333</v>
      </c>
      <c r="T110" s="106">
        <f t="shared" si="45"/>
        <v>4</v>
      </c>
      <c r="U110" s="107">
        <f t="shared" si="72"/>
        <v>3.43333333333333</v>
      </c>
      <c r="V110" s="105">
        <f t="shared" si="73"/>
        <v>2</v>
      </c>
      <c r="W110" s="106">
        <f t="shared" si="74"/>
        <v>0.714285714285714</v>
      </c>
      <c r="X110" s="107">
        <f t="shared" si="75"/>
        <v>0.285714285714286</v>
      </c>
      <c r="Y110" s="105">
        <f t="shared" si="55"/>
        <v>0.380952380952381</v>
      </c>
      <c r="Z110" s="106">
        <f t="shared" si="56"/>
        <v>5.18761904761905</v>
      </c>
      <c r="AA110" s="106">
        <f t="shared" si="57"/>
        <v>3.4350941041196</v>
      </c>
      <c r="AB110" s="106">
        <v>0</v>
      </c>
      <c r="AC110" s="106">
        <f t="shared" si="58"/>
        <v>0.117998715041572</v>
      </c>
      <c r="AD110" s="107">
        <f t="shared" si="59"/>
        <v>0.117998715041572</v>
      </c>
      <c r="AE110" s="105">
        <f t="shared" si="60"/>
        <v>3.36793650793651</v>
      </c>
      <c r="AF110" s="106">
        <f t="shared" si="61"/>
        <v>3.4350941041196</v>
      </c>
      <c r="AG110" s="106">
        <f t="shared" si="76"/>
        <v>0.884990362811792</v>
      </c>
      <c r="AH110" s="106">
        <f t="shared" si="77"/>
        <v>0.512483270716619</v>
      </c>
      <c r="AI110" s="107">
        <f t="shared" si="62"/>
        <v>1.39747363352841</v>
      </c>
      <c r="AJ110" s="105">
        <f t="shared" si="63"/>
        <v>1.37333333333333</v>
      </c>
      <c r="AK110" s="106">
        <f t="shared" si="64"/>
        <v>2.67173194020408</v>
      </c>
      <c r="AL110" s="106">
        <f t="shared" si="65"/>
        <v>0.851466666666667</v>
      </c>
      <c r="AM110" s="106">
        <f t="shared" si="78"/>
        <v>0</v>
      </c>
      <c r="AN110" s="107">
        <f t="shared" si="66"/>
        <v>0.851466666666667</v>
      </c>
      <c r="AO110" s="105">
        <f t="shared" si="79"/>
        <v>0.589993575207861</v>
      </c>
      <c r="AP110" s="106">
        <f t="shared" si="54"/>
        <v>0.108</v>
      </c>
      <c r="AQ110" s="107">
        <f t="shared" si="67"/>
        <v>0.0132</v>
      </c>
      <c r="AR110" s="105">
        <f t="shared" si="68"/>
        <v>2.96013387540294</v>
      </c>
      <c r="AS110" s="106">
        <f t="shared" si="69"/>
        <v>13.7333333333333</v>
      </c>
      <c r="AT110" s="107">
        <f t="shared" si="70"/>
        <v>82.2677108452713</v>
      </c>
    </row>
    <row r="111" spans="17:46">
      <c r="Q111">
        <v>104</v>
      </c>
      <c r="R111" s="105">
        <f t="shared" si="43"/>
        <v>10</v>
      </c>
      <c r="S111" s="106">
        <f t="shared" si="71"/>
        <v>1.38666666666667</v>
      </c>
      <c r="T111" s="106">
        <f t="shared" si="45"/>
        <v>4</v>
      </c>
      <c r="U111" s="107">
        <f t="shared" si="72"/>
        <v>3.46666666666667</v>
      </c>
      <c r="V111" s="105">
        <f t="shared" si="73"/>
        <v>2</v>
      </c>
      <c r="W111" s="106">
        <f t="shared" si="74"/>
        <v>0.714285714285714</v>
      </c>
      <c r="X111" s="107">
        <f t="shared" si="75"/>
        <v>0.285714285714286</v>
      </c>
      <c r="Y111" s="105">
        <f t="shared" si="55"/>
        <v>0.380952380952381</v>
      </c>
      <c r="Z111" s="106">
        <f t="shared" si="56"/>
        <v>5.23428571428571</v>
      </c>
      <c r="AA111" s="106">
        <f t="shared" si="57"/>
        <v>3.4684105155182</v>
      </c>
      <c r="AB111" s="106">
        <v>0</v>
      </c>
      <c r="AC111" s="106">
        <f t="shared" si="58"/>
        <v>0.120298715041572</v>
      </c>
      <c r="AD111" s="107">
        <f t="shared" si="59"/>
        <v>0.120298715041572</v>
      </c>
      <c r="AE111" s="105">
        <f t="shared" si="60"/>
        <v>3.43365079365079</v>
      </c>
      <c r="AF111" s="106">
        <f t="shared" si="61"/>
        <v>3.4684105155182</v>
      </c>
      <c r="AG111" s="106">
        <f t="shared" si="76"/>
        <v>0.902240362811792</v>
      </c>
      <c r="AH111" s="106">
        <f t="shared" si="77"/>
        <v>0.517458836451732</v>
      </c>
      <c r="AI111" s="107">
        <f t="shared" si="62"/>
        <v>1.41969919926352</v>
      </c>
      <c r="AJ111" s="105">
        <f t="shared" si="63"/>
        <v>1.38666666666667</v>
      </c>
      <c r="AK111" s="106">
        <f t="shared" si="64"/>
        <v>2.69667034050995</v>
      </c>
      <c r="AL111" s="106">
        <f t="shared" si="65"/>
        <v>0.859733333333333</v>
      </c>
      <c r="AM111" s="106">
        <f t="shared" si="78"/>
        <v>0</v>
      </c>
      <c r="AN111" s="107">
        <f t="shared" si="66"/>
        <v>0.859733333333333</v>
      </c>
      <c r="AO111" s="105">
        <f t="shared" si="79"/>
        <v>0.601493575207861</v>
      </c>
      <c r="AP111" s="106">
        <f t="shared" si="54"/>
        <v>0.108</v>
      </c>
      <c r="AQ111" s="107">
        <f t="shared" si="67"/>
        <v>0.0132</v>
      </c>
      <c r="AR111" s="105">
        <f t="shared" si="68"/>
        <v>3.00212610780472</v>
      </c>
      <c r="AS111" s="106">
        <f t="shared" si="69"/>
        <v>13.8666666666667</v>
      </c>
      <c r="AT111" s="107">
        <f t="shared" si="70"/>
        <v>82.2030767231427</v>
      </c>
    </row>
    <row r="112" spans="17:46">
      <c r="Q112">
        <v>105</v>
      </c>
      <c r="R112" s="105">
        <f t="shared" si="43"/>
        <v>10</v>
      </c>
      <c r="S112" s="106">
        <f t="shared" si="71"/>
        <v>1.4</v>
      </c>
      <c r="T112" s="106">
        <f t="shared" si="45"/>
        <v>4</v>
      </c>
      <c r="U112" s="107">
        <f t="shared" si="72"/>
        <v>3.5</v>
      </c>
      <c r="V112" s="105">
        <f t="shared" si="73"/>
        <v>2</v>
      </c>
      <c r="W112" s="106">
        <f t="shared" si="74"/>
        <v>0.714285714285714</v>
      </c>
      <c r="X112" s="107">
        <f t="shared" si="75"/>
        <v>0.285714285714286</v>
      </c>
      <c r="Y112" s="105">
        <f t="shared" si="55"/>
        <v>0.380952380952381</v>
      </c>
      <c r="Z112" s="106">
        <f t="shared" si="56"/>
        <v>5.28095238095238</v>
      </c>
      <c r="AA112" s="106">
        <f t="shared" si="57"/>
        <v>3.50172724899862</v>
      </c>
      <c r="AB112" s="106">
        <v>0</v>
      </c>
      <c r="AC112" s="106">
        <f t="shared" si="58"/>
        <v>0.122620937263794</v>
      </c>
      <c r="AD112" s="107">
        <f t="shared" si="59"/>
        <v>0.122620937263794</v>
      </c>
      <c r="AE112" s="105">
        <f t="shared" si="60"/>
        <v>3.5</v>
      </c>
      <c r="AF112" s="106">
        <f t="shared" si="61"/>
        <v>3.50172724899862</v>
      </c>
      <c r="AG112" s="106">
        <f t="shared" si="76"/>
        <v>0.919657029478458</v>
      </c>
      <c r="AH112" s="106">
        <f t="shared" si="77"/>
        <v>0.522434402186844</v>
      </c>
      <c r="AI112" s="107">
        <f t="shared" si="62"/>
        <v>1.4420914316653</v>
      </c>
      <c r="AJ112" s="105">
        <f t="shared" si="63"/>
        <v>1.4</v>
      </c>
      <c r="AK112" s="106">
        <f t="shared" si="64"/>
        <v>2.7216088504614</v>
      </c>
      <c r="AL112" s="106">
        <f t="shared" si="65"/>
        <v>0.868</v>
      </c>
      <c r="AM112" s="106">
        <f t="shared" si="78"/>
        <v>0</v>
      </c>
      <c r="AN112" s="107">
        <f t="shared" si="66"/>
        <v>0.868</v>
      </c>
      <c r="AO112" s="105">
        <f t="shared" si="79"/>
        <v>0.613104686318972</v>
      </c>
      <c r="AP112" s="106">
        <f t="shared" si="54"/>
        <v>0.108</v>
      </c>
      <c r="AQ112" s="107">
        <f t="shared" si="67"/>
        <v>0.0132</v>
      </c>
      <c r="AR112" s="105">
        <f t="shared" si="68"/>
        <v>3.04439611798427</v>
      </c>
      <c r="AS112" s="106">
        <f t="shared" si="69"/>
        <v>14</v>
      </c>
      <c r="AT112" s="107">
        <f t="shared" si="70"/>
        <v>82.138433671041</v>
      </c>
    </row>
    <row r="113" spans="17:46">
      <c r="Q113">
        <v>106</v>
      </c>
      <c r="R113" s="105">
        <f t="shared" si="43"/>
        <v>10</v>
      </c>
      <c r="S113" s="106">
        <f t="shared" si="71"/>
        <v>1.41333333333333</v>
      </c>
      <c r="T113" s="106">
        <f t="shared" si="45"/>
        <v>4</v>
      </c>
      <c r="U113" s="107">
        <f t="shared" si="72"/>
        <v>3.53333333333333</v>
      </c>
      <c r="V113" s="105">
        <f t="shared" si="73"/>
        <v>2</v>
      </c>
      <c r="W113" s="106">
        <f t="shared" si="74"/>
        <v>0.714285714285714</v>
      </c>
      <c r="X113" s="107">
        <f t="shared" si="75"/>
        <v>0.285714285714286</v>
      </c>
      <c r="Y113" s="105">
        <f t="shared" si="55"/>
        <v>0.380952380952381</v>
      </c>
      <c r="Z113" s="106">
        <f t="shared" si="56"/>
        <v>5.32761904761905</v>
      </c>
      <c r="AA113" s="106">
        <f t="shared" si="57"/>
        <v>3.53504429545428</v>
      </c>
      <c r="AB113" s="106">
        <v>0</v>
      </c>
      <c r="AC113" s="106">
        <f t="shared" si="58"/>
        <v>0.124965381708239</v>
      </c>
      <c r="AD113" s="107">
        <f t="shared" si="59"/>
        <v>0.124965381708239</v>
      </c>
      <c r="AE113" s="105">
        <f t="shared" si="60"/>
        <v>3.56698412698413</v>
      </c>
      <c r="AF113" s="106">
        <f t="shared" si="61"/>
        <v>3.53504429545428</v>
      </c>
      <c r="AG113" s="106">
        <f t="shared" si="76"/>
        <v>0.937240362811791</v>
      </c>
      <c r="AH113" s="106">
        <f t="shared" si="77"/>
        <v>0.527409967921957</v>
      </c>
      <c r="AI113" s="107">
        <f t="shared" si="62"/>
        <v>1.46465033073375</v>
      </c>
      <c r="AJ113" s="105">
        <f t="shared" si="63"/>
        <v>1.41333333333333</v>
      </c>
      <c r="AK113" s="106">
        <f t="shared" si="64"/>
        <v>2.74654746707172</v>
      </c>
      <c r="AL113" s="106">
        <f t="shared" si="65"/>
        <v>0.876266666666667</v>
      </c>
      <c r="AM113" s="106">
        <f t="shared" si="78"/>
        <v>0</v>
      </c>
      <c r="AN113" s="107">
        <f t="shared" si="66"/>
        <v>0.876266666666667</v>
      </c>
      <c r="AO113" s="105">
        <f t="shared" si="79"/>
        <v>0.624826908541194</v>
      </c>
      <c r="AP113" s="106">
        <f t="shared" si="54"/>
        <v>0.108</v>
      </c>
      <c r="AQ113" s="107">
        <f t="shared" si="67"/>
        <v>0.0132</v>
      </c>
      <c r="AR113" s="105">
        <f t="shared" si="68"/>
        <v>3.08694390594161</v>
      </c>
      <c r="AS113" s="106">
        <f t="shared" si="69"/>
        <v>14.1333333333333</v>
      </c>
      <c r="AT113" s="107">
        <f t="shared" si="70"/>
        <v>82.0737850903986</v>
      </c>
    </row>
    <row r="114" spans="17:46">
      <c r="Q114">
        <v>107</v>
      </c>
      <c r="R114" s="105">
        <f t="shared" si="43"/>
        <v>10</v>
      </c>
      <c r="S114" s="106">
        <f t="shared" si="71"/>
        <v>1.42666666666667</v>
      </c>
      <c r="T114" s="106">
        <f t="shared" si="45"/>
        <v>4</v>
      </c>
      <c r="U114" s="107">
        <f t="shared" si="72"/>
        <v>3.56666666666667</v>
      </c>
      <c r="V114" s="105">
        <f t="shared" si="73"/>
        <v>2</v>
      </c>
      <c r="W114" s="106">
        <f t="shared" si="74"/>
        <v>0.714285714285714</v>
      </c>
      <c r="X114" s="107">
        <f t="shared" si="75"/>
        <v>0.285714285714286</v>
      </c>
      <c r="Y114" s="105">
        <f t="shared" si="55"/>
        <v>0.380952380952381</v>
      </c>
      <c r="Z114" s="106">
        <f t="shared" si="56"/>
        <v>5.37428571428572</v>
      </c>
      <c r="AA114" s="106">
        <f t="shared" si="57"/>
        <v>3.56836164611864</v>
      </c>
      <c r="AB114" s="106">
        <v>0</v>
      </c>
      <c r="AC114" s="106">
        <f t="shared" si="58"/>
        <v>0.127332048374905</v>
      </c>
      <c r="AD114" s="107">
        <f t="shared" si="59"/>
        <v>0.127332048374905</v>
      </c>
      <c r="AE114" s="105">
        <f t="shared" si="60"/>
        <v>3.63460317460317</v>
      </c>
      <c r="AF114" s="106">
        <f t="shared" si="61"/>
        <v>3.56836164611864</v>
      </c>
      <c r="AG114" s="106">
        <f t="shared" si="76"/>
        <v>0.954990362811791</v>
      </c>
      <c r="AH114" s="106">
        <f t="shared" si="77"/>
        <v>0.53238553365707</v>
      </c>
      <c r="AI114" s="107">
        <f t="shared" si="62"/>
        <v>1.48737589646886</v>
      </c>
      <c r="AJ114" s="105">
        <f t="shared" si="63"/>
        <v>1.42666666666667</v>
      </c>
      <c r="AK114" s="106">
        <f t="shared" si="64"/>
        <v>2.77148618746166</v>
      </c>
      <c r="AL114" s="106">
        <f t="shared" si="65"/>
        <v>0.884533333333333</v>
      </c>
      <c r="AM114" s="106">
        <f t="shared" si="78"/>
        <v>0</v>
      </c>
      <c r="AN114" s="107">
        <f t="shared" si="66"/>
        <v>0.884533333333333</v>
      </c>
      <c r="AO114" s="105">
        <f t="shared" si="79"/>
        <v>0.636660241874528</v>
      </c>
      <c r="AP114" s="106">
        <f t="shared" si="54"/>
        <v>0.108</v>
      </c>
      <c r="AQ114" s="107">
        <f t="shared" si="67"/>
        <v>0.0132</v>
      </c>
      <c r="AR114" s="105">
        <f t="shared" si="68"/>
        <v>3.12976947167672</v>
      </c>
      <c r="AS114" s="106">
        <f t="shared" si="69"/>
        <v>14.2666666666667</v>
      </c>
      <c r="AT114" s="107">
        <f t="shared" si="70"/>
        <v>82.0091342457297</v>
      </c>
    </row>
    <row r="115" spans="17:46">
      <c r="Q115">
        <v>108</v>
      </c>
      <c r="R115" s="105">
        <f t="shared" si="43"/>
        <v>10</v>
      </c>
      <c r="S115" s="106">
        <f t="shared" si="71"/>
        <v>1.44</v>
      </c>
      <c r="T115" s="106">
        <f t="shared" si="45"/>
        <v>4</v>
      </c>
      <c r="U115" s="107">
        <f t="shared" si="72"/>
        <v>3.6</v>
      </c>
      <c r="V115" s="105">
        <f t="shared" si="73"/>
        <v>2</v>
      </c>
      <c r="W115" s="106">
        <f t="shared" si="74"/>
        <v>0.714285714285714</v>
      </c>
      <c r="X115" s="107">
        <f t="shared" si="75"/>
        <v>0.285714285714286</v>
      </c>
      <c r="Y115" s="105">
        <f t="shared" si="55"/>
        <v>0.380952380952381</v>
      </c>
      <c r="Z115" s="106">
        <f t="shared" si="56"/>
        <v>5.42095238095238</v>
      </c>
      <c r="AA115" s="106">
        <f t="shared" si="57"/>
        <v>3.60167929254944</v>
      </c>
      <c r="AB115" s="106">
        <v>0</v>
      </c>
      <c r="AC115" s="106">
        <f t="shared" si="58"/>
        <v>0.129720937263794</v>
      </c>
      <c r="AD115" s="107">
        <f t="shared" si="59"/>
        <v>0.129720937263794</v>
      </c>
      <c r="AE115" s="105">
        <f t="shared" si="60"/>
        <v>3.70285714285714</v>
      </c>
      <c r="AF115" s="106">
        <f t="shared" si="61"/>
        <v>3.60167929254944</v>
      </c>
      <c r="AG115" s="106">
        <f t="shared" si="76"/>
        <v>0.972907029478458</v>
      </c>
      <c r="AH115" s="106">
        <f t="shared" si="77"/>
        <v>0.537361099392183</v>
      </c>
      <c r="AI115" s="107">
        <f t="shared" si="62"/>
        <v>1.51026812887064</v>
      </c>
      <c r="AJ115" s="105">
        <f t="shared" si="63"/>
        <v>1.44</v>
      </c>
      <c r="AK115" s="106">
        <f t="shared" si="64"/>
        <v>2.79642500885469</v>
      </c>
      <c r="AL115" s="106">
        <f t="shared" si="65"/>
        <v>0.8928</v>
      </c>
      <c r="AM115" s="106">
        <f t="shared" si="78"/>
        <v>0</v>
      </c>
      <c r="AN115" s="107">
        <f t="shared" si="66"/>
        <v>0.8928</v>
      </c>
      <c r="AO115" s="105">
        <f t="shared" si="79"/>
        <v>0.648604686318972</v>
      </c>
      <c r="AP115" s="106">
        <f t="shared" si="54"/>
        <v>0.108</v>
      </c>
      <c r="AQ115" s="107">
        <f t="shared" si="67"/>
        <v>0.0132</v>
      </c>
      <c r="AR115" s="105">
        <f t="shared" si="68"/>
        <v>3.17287281518961</v>
      </c>
      <c r="AS115" s="106">
        <f t="shared" si="69"/>
        <v>14.4</v>
      </c>
      <c r="AT115" s="107">
        <f t="shared" si="70"/>
        <v>81.9444842709665</v>
      </c>
    </row>
    <row r="116" spans="17:46">
      <c r="Q116">
        <v>109</v>
      </c>
      <c r="R116" s="105">
        <f t="shared" si="43"/>
        <v>10</v>
      </c>
      <c r="S116" s="106">
        <f t="shared" si="71"/>
        <v>1.45333333333333</v>
      </c>
      <c r="T116" s="106">
        <f t="shared" si="45"/>
        <v>4</v>
      </c>
      <c r="U116" s="107">
        <f t="shared" si="72"/>
        <v>3.63333333333333</v>
      </c>
      <c r="V116" s="105">
        <f t="shared" si="73"/>
        <v>2</v>
      </c>
      <c r="W116" s="106">
        <f t="shared" si="74"/>
        <v>0.714285714285714</v>
      </c>
      <c r="X116" s="107">
        <f t="shared" si="75"/>
        <v>0.285714285714286</v>
      </c>
      <c r="Y116" s="105">
        <f t="shared" si="55"/>
        <v>0.380952380952381</v>
      </c>
      <c r="Z116" s="106">
        <f t="shared" si="56"/>
        <v>5.46761904761905</v>
      </c>
      <c r="AA116" s="106">
        <f t="shared" si="57"/>
        <v>3.63499722661387</v>
      </c>
      <c r="AB116" s="106">
        <v>0</v>
      </c>
      <c r="AC116" s="106">
        <f t="shared" si="58"/>
        <v>0.132132048374905</v>
      </c>
      <c r="AD116" s="107">
        <f t="shared" si="59"/>
        <v>0.132132048374905</v>
      </c>
      <c r="AE116" s="105">
        <f t="shared" si="60"/>
        <v>3.77174603174603</v>
      </c>
      <c r="AF116" s="106">
        <f t="shared" si="61"/>
        <v>3.63499722661387</v>
      </c>
      <c r="AG116" s="106">
        <f t="shared" si="76"/>
        <v>0.990990362811791</v>
      </c>
      <c r="AH116" s="106">
        <f t="shared" si="77"/>
        <v>0.542336665127296</v>
      </c>
      <c r="AI116" s="107">
        <f t="shared" si="62"/>
        <v>1.53332702793909</v>
      </c>
      <c r="AJ116" s="105">
        <f t="shared" si="63"/>
        <v>1.45333333333333</v>
      </c>
      <c r="AK116" s="106">
        <f t="shared" si="64"/>
        <v>2.82136392857241</v>
      </c>
      <c r="AL116" s="106">
        <f t="shared" si="65"/>
        <v>0.901066666666667</v>
      </c>
      <c r="AM116" s="106">
        <f t="shared" si="78"/>
        <v>0</v>
      </c>
      <c r="AN116" s="107">
        <f t="shared" si="66"/>
        <v>0.901066666666667</v>
      </c>
      <c r="AO116" s="105">
        <f t="shared" si="79"/>
        <v>0.660660241874528</v>
      </c>
      <c r="AP116" s="106">
        <f t="shared" si="54"/>
        <v>0.108</v>
      </c>
      <c r="AQ116" s="107">
        <f t="shared" si="67"/>
        <v>0.0132</v>
      </c>
      <c r="AR116" s="105">
        <f t="shared" si="68"/>
        <v>3.21625393648028</v>
      </c>
      <c r="AS116" s="106">
        <f t="shared" si="69"/>
        <v>14.5333333333333</v>
      </c>
      <c r="AT116" s="107">
        <f t="shared" si="70"/>
        <v>81.8798381754482</v>
      </c>
    </row>
    <row r="117" spans="17:46">
      <c r="Q117">
        <v>110</v>
      </c>
      <c r="R117" s="105">
        <f t="shared" si="43"/>
        <v>10</v>
      </c>
      <c r="S117" s="106">
        <f t="shared" si="71"/>
        <v>1.46666666666667</v>
      </c>
      <c r="T117" s="106">
        <f t="shared" si="45"/>
        <v>4</v>
      </c>
      <c r="U117" s="107">
        <f t="shared" si="72"/>
        <v>3.66666666666667</v>
      </c>
      <c r="V117" s="105">
        <f t="shared" si="73"/>
        <v>2</v>
      </c>
      <c r="W117" s="106">
        <f t="shared" si="74"/>
        <v>0.714285714285714</v>
      </c>
      <c r="X117" s="107">
        <f t="shared" si="75"/>
        <v>0.285714285714286</v>
      </c>
      <c r="Y117" s="105">
        <f t="shared" si="55"/>
        <v>0.380952380952381</v>
      </c>
      <c r="Z117" s="106">
        <f t="shared" si="56"/>
        <v>5.51428571428572</v>
      </c>
      <c r="AA117" s="106">
        <f t="shared" si="57"/>
        <v>3.66831544047454</v>
      </c>
      <c r="AB117" s="106">
        <v>0</v>
      </c>
      <c r="AC117" s="106">
        <f t="shared" si="58"/>
        <v>0.134565381708239</v>
      </c>
      <c r="AD117" s="107">
        <f t="shared" si="59"/>
        <v>0.134565381708239</v>
      </c>
      <c r="AE117" s="105">
        <f t="shared" si="60"/>
        <v>3.84126984126984</v>
      </c>
      <c r="AF117" s="106">
        <f t="shared" si="61"/>
        <v>3.66831544047454</v>
      </c>
      <c r="AG117" s="106">
        <f t="shared" si="76"/>
        <v>1.00924036281179</v>
      </c>
      <c r="AH117" s="106">
        <f t="shared" si="77"/>
        <v>0.547312230862408</v>
      </c>
      <c r="AI117" s="107">
        <f t="shared" si="62"/>
        <v>1.5565525936742</v>
      </c>
      <c r="AJ117" s="105">
        <f t="shared" si="63"/>
        <v>1.46666666666667</v>
      </c>
      <c r="AK117" s="106">
        <f t="shared" si="64"/>
        <v>2.8463029440303</v>
      </c>
      <c r="AL117" s="106">
        <f t="shared" si="65"/>
        <v>0.909333333333333</v>
      </c>
      <c r="AM117" s="106">
        <f t="shared" si="78"/>
        <v>0</v>
      </c>
      <c r="AN117" s="107">
        <f t="shared" si="66"/>
        <v>0.909333333333333</v>
      </c>
      <c r="AO117" s="105">
        <f t="shared" si="79"/>
        <v>0.672826908541194</v>
      </c>
      <c r="AP117" s="106">
        <f t="shared" si="54"/>
        <v>0.108</v>
      </c>
      <c r="AQ117" s="107">
        <f t="shared" si="67"/>
        <v>0.0132</v>
      </c>
      <c r="AR117" s="105">
        <f t="shared" si="68"/>
        <v>3.25991283554873</v>
      </c>
      <c r="AS117" s="106">
        <f t="shared" si="69"/>
        <v>14.6666666666667</v>
      </c>
      <c r="AT117" s="107">
        <f t="shared" si="70"/>
        <v>81.8151988495861</v>
      </c>
    </row>
    <row r="118" spans="17:46">
      <c r="Q118">
        <v>111</v>
      </c>
      <c r="R118" s="105">
        <f t="shared" si="43"/>
        <v>10</v>
      </c>
      <c r="S118" s="106">
        <f t="shared" si="71"/>
        <v>1.48</v>
      </c>
      <c r="T118" s="106">
        <f t="shared" si="45"/>
        <v>4</v>
      </c>
      <c r="U118" s="107">
        <f t="shared" si="72"/>
        <v>3.7</v>
      </c>
      <c r="V118" s="105">
        <f t="shared" si="73"/>
        <v>2</v>
      </c>
      <c r="W118" s="106">
        <f t="shared" si="74"/>
        <v>0.714285714285714</v>
      </c>
      <c r="X118" s="107">
        <f t="shared" si="75"/>
        <v>0.285714285714286</v>
      </c>
      <c r="Y118" s="105">
        <f t="shared" si="55"/>
        <v>0.380952380952381</v>
      </c>
      <c r="Z118" s="106">
        <f t="shared" si="56"/>
        <v>5.56095238095238</v>
      </c>
      <c r="AA118" s="106">
        <f t="shared" si="57"/>
        <v>3.70163392657613</v>
      </c>
      <c r="AB118" s="106">
        <v>0</v>
      </c>
      <c r="AC118" s="106">
        <f t="shared" si="58"/>
        <v>0.137020937263794</v>
      </c>
      <c r="AD118" s="107">
        <f t="shared" si="59"/>
        <v>0.137020937263794</v>
      </c>
      <c r="AE118" s="105">
        <f t="shared" si="60"/>
        <v>3.91142857142857</v>
      </c>
      <c r="AF118" s="106">
        <f t="shared" si="61"/>
        <v>3.70163392657613</v>
      </c>
      <c r="AG118" s="106">
        <f t="shared" si="76"/>
        <v>1.02765702947846</v>
      </c>
      <c r="AH118" s="106">
        <f t="shared" si="77"/>
        <v>0.552287796597521</v>
      </c>
      <c r="AI118" s="107">
        <f t="shared" si="62"/>
        <v>1.57994482607598</v>
      </c>
      <c r="AJ118" s="105">
        <f t="shared" si="63"/>
        <v>1.48</v>
      </c>
      <c r="AK118" s="106">
        <f t="shared" si="64"/>
        <v>2.87124205273363</v>
      </c>
      <c r="AL118" s="106">
        <f t="shared" si="65"/>
        <v>0.9176</v>
      </c>
      <c r="AM118" s="106">
        <f t="shared" si="78"/>
        <v>0</v>
      </c>
      <c r="AN118" s="107">
        <f t="shared" si="66"/>
        <v>0.9176</v>
      </c>
      <c r="AO118" s="105">
        <f t="shared" si="79"/>
        <v>0.685104686318972</v>
      </c>
      <c r="AP118" s="106">
        <f t="shared" si="54"/>
        <v>0.108</v>
      </c>
      <c r="AQ118" s="107">
        <f t="shared" si="67"/>
        <v>0.0132</v>
      </c>
      <c r="AR118" s="105">
        <f t="shared" si="68"/>
        <v>3.30384951239495</v>
      </c>
      <c r="AS118" s="106">
        <f t="shared" si="69"/>
        <v>14.8</v>
      </c>
      <c r="AT118" s="107">
        <f t="shared" si="70"/>
        <v>81.7505690702249</v>
      </c>
    </row>
    <row r="119" spans="17:46">
      <c r="Q119">
        <v>112</v>
      </c>
      <c r="R119" s="105">
        <f t="shared" si="43"/>
        <v>10</v>
      </c>
      <c r="S119" s="106">
        <f t="shared" si="71"/>
        <v>1.49333333333333</v>
      </c>
      <c r="T119" s="106">
        <f t="shared" si="45"/>
        <v>4</v>
      </c>
      <c r="U119" s="107">
        <f t="shared" si="72"/>
        <v>3.73333333333333</v>
      </c>
      <c r="V119" s="105">
        <f t="shared" si="73"/>
        <v>2</v>
      </c>
      <c r="W119" s="106">
        <f t="shared" si="74"/>
        <v>0.714285714285714</v>
      </c>
      <c r="X119" s="107">
        <f t="shared" si="75"/>
        <v>0.285714285714286</v>
      </c>
      <c r="Y119" s="105">
        <f t="shared" si="55"/>
        <v>0.380952380952381</v>
      </c>
      <c r="Z119" s="106">
        <f t="shared" si="56"/>
        <v>5.60761904761905</v>
      </c>
      <c r="AA119" s="106">
        <f t="shared" si="57"/>
        <v>3.73495267763291</v>
      </c>
      <c r="AB119" s="106">
        <v>0</v>
      </c>
      <c r="AC119" s="106">
        <f t="shared" si="58"/>
        <v>0.139498715041572</v>
      </c>
      <c r="AD119" s="107">
        <f t="shared" si="59"/>
        <v>0.139498715041572</v>
      </c>
      <c r="AE119" s="105">
        <f t="shared" si="60"/>
        <v>3.98222222222222</v>
      </c>
      <c r="AF119" s="106">
        <f t="shared" si="61"/>
        <v>3.73495267763291</v>
      </c>
      <c r="AG119" s="106">
        <f t="shared" si="76"/>
        <v>1.04624036281179</v>
      </c>
      <c r="AH119" s="106">
        <f t="shared" si="77"/>
        <v>0.557263362332634</v>
      </c>
      <c r="AI119" s="107">
        <f t="shared" si="62"/>
        <v>1.60350372514443</v>
      </c>
      <c r="AJ119" s="105">
        <f t="shared" si="63"/>
        <v>1.49333333333333</v>
      </c>
      <c r="AK119" s="106">
        <f t="shared" si="64"/>
        <v>2.89618125227358</v>
      </c>
      <c r="AL119" s="106">
        <f t="shared" si="65"/>
        <v>0.925866666666667</v>
      </c>
      <c r="AM119" s="106">
        <f t="shared" si="78"/>
        <v>0</v>
      </c>
      <c r="AN119" s="107">
        <f t="shared" si="66"/>
        <v>0.925866666666667</v>
      </c>
      <c r="AO119" s="105">
        <f t="shared" si="79"/>
        <v>0.697493575207861</v>
      </c>
      <c r="AP119" s="106">
        <f t="shared" si="54"/>
        <v>0.108</v>
      </c>
      <c r="AQ119" s="107">
        <f t="shared" si="67"/>
        <v>0.0132</v>
      </c>
      <c r="AR119" s="105">
        <f t="shared" si="68"/>
        <v>3.34806396701895</v>
      </c>
      <c r="AS119" s="106">
        <f t="shared" si="69"/>
        <v>14.9333333333333</v>
      </c>
      <c r="AT119" s="107">
        <f t="shared" si="70"/>
        <v>81.6859515057176</v>
      </c>
    </row>
    <row r="120" spans="17:46">
      <c r="Q120">
        <v>113</v>
      </c>
      <c r="R120" s="105">
        <f t="shared" si="43"/>
        <v>10</v>
      </c>
      <c r="S120" s="106">
        <f t="shared" si="71"/>
        <v>1.50666666666667</v>
      </c>
      <c r="T120" s="106">
        <f t="shared" si="45"/>
        <v>4</v>
      </c>
      <c r="U120" s="107">
        <f t="shared" si="72"/>
        <v>3.76666666666667</v>
      </c>
      <c r="V120" s="105">
        <f t="shared" si="73"/>
        <v>2</v>
      </c>
      <c r="W120" s="106">
        <f t="shared" si="74"/>
        <v>0.714285714285714</v>
      </c>
      <c r="X120" s="107">
        <f t="shared" si="75"/>
        <v>0.285714285714286</v>
      </c>
      <c r="Y120" s="105">
        <f t="shared" si="55"/>
        <v>0.380952380952381</v>
      </c>
      <c r="Z120" s="106">
        <f t="shared" si="56"/>
        <v>5.65428571428571</v>
      </c>
      <c r="AA120" s="106">
        <f t="shared" si="57"/>
        <v>3.76827168661672</v>
      </c>
      <c r="AB120" s="106">
        <v>0</v>
      </c>
      <c r="AC120" s="106">
        <f t="shared" si="58"/>
        <v>0.141998715041572</v>
      </c>
      <c r="AD120" s="107">
        <f t="shared" si="59"/>
        <v>0.141998715041572</v>
      </c>
      <c r="AE120" s="105">
        <f t="shared" si="60"/>
        <v>4.0536507936508</v>
      </c>
      <c r="AF120" s="106">
        <f t="shared" si="61"/>
        <v>3.76827168661672</v>
      </c>
      <c r="AG120" s="106">
        <f t="shared" si="76"/>
        <v>1.06499036281179</v>
      </c>
      <c r="AH120" s="106">
        <f t="shared" si="77"/>
        <v>0.562238928067747</v>
      </c>
      <c r="AI120" s="107">
        <f t="shared" si="62"/>
        <v>1.62722929087954</v>
      </c>
      <c r="AJ120" s="105">
        <f t="shared" si="63"/>
        <v>1.50666666666667</v>
      </c>
      <c r="AK120" s="106">
        <f t="shared" si="64"/>
        <v>2.92112054032358</v>
      </c>
      <c r="AL120" s="106">
        <f t="shared" si="65"/>
        <v>0.934133333333333</v>
      </c>
      <c r="AM120" s="106">
        <f t="shared" si="78"/>
        <v>0</v>
      </c>
      <c r="AN120" s="107">
        <f t="shared" si="66"/>
        <v>0.934133333333333</v>
      </c>
      <c r="AO120" s="105">
        <f t="shared" si="79"/>
        <v>0.709993575207861</v>
      </c>
      <c r="AP120" s="106">
        <f t="shared" si="54"/>
        <v>0.108</v>
      </c>
      <c r="AQ120" s="107">
        <f t="shared" si="67"/>
        <v>0.0132</v>
      </c>
      <c r="AR120" s="105">
        <f t="shared" si="68"/>
        <v>3.39255619942073</v>
      </c>
      <c r="AS120" s="106">
        <f t="shared" si="69"/>
        <v>15.0666666666667</v>
      </c>
      <c r="AT120" s="107">
        <f t="shared" si="70"/>
        <v>81.621348720734</v>
      </c>
    </row>
    <row r="121" spans="17:46">
      <c r="Q121">
        <v>114</v>
      </c>
      <c r="R121" s="105">
        <f t="shared" si="43"/>
        <v>10</v>
      </c>
      <c r="S121" s="106">
        <f t="shared" si="71"/>
        <v>1.52</v>
      </c>
      <c r="T121" s="106">
        <f t="shared" si="45"/>
        <v>4</v>
      </c>
      <c r="U121" s="107">
        <f t="shared" si="72"/>
        <v>3.8</v>
      </c>
      <c r="V121" s="105">
        <f t="shared" si="73"/>
        <v>2</v>
      </c>
      <c r="W121" s="106">
        <f t="shared" si="74"/>
        <v>0.714285714285714</v>
      </c>
      <c r="X121" s="107">
        <f t="shared" si="75"/>
        <v>0.285714285714286</v>
      </c>
      <c r="Y121" s="105">
        <f t="shared" si="55"/>
        <v>0.380952380952381</v>
      </c>
      <c r="Z121" s="106">
        <f t="shared" si="56"/>
        <v>5.70095238095238</v>
      </c>
      <c r="AA121" s="106">
        <f t="shared" si="57"/>
        <v>3.80159094674577</v>
      </c>
      <c r="AB121" s="106">
        <v>0</v>
      </c>
      <c r="AC121" s="106">
        <f t="shared" si="58"/>
        <v>0.144520937263794</v>
      </c>
      <c r="AD121" s="107">
        <f t="shared" si="59"/>
        <v>0.144520937263794</v>
      </c>
      <c r="AE121" s="105">
        <f t="shared" si="60"/>
        <v>4.12571428571429</v>
      </c>
      <c r="AF121" s="106">
        <f t="shared" si="61"/>
        <v>3.80159094674577</v>
      </c>
      <c r="AG121" s="106">
        <f t="shared" si="76"/>
        <v>1.08390702947846</v>
      </c>
      <c r="AH121" s="106">
        <f t="shared" si="77"/>
        <v>0.56721449380286</v>
      </c>
      <c r="AI121" s="107">
        <f t="shared" si="62"/>
        <v>1.65112152328132</v>
      </c>
      <c r="AJ121" s="105">
        <f t="shared" si="63"/>
        <v>1.52</v>
      </c>
      <c r="AK121" s="106">
        <f t="shared" si="64"/>
        <v>2.94605991463584</v>
      </c>
      <c r="AL121" s="106">
        <f t="shared" si="65"/>
        <v>0.9424</v>
      </c>
      <c r="AM121" s="106">
        <f t="shared" si="78"/>
        <v>0</v>
      </c>
      <c r="AN121" s="107">
        <f t="shared" si="66"/>
        <v>0.9424</v>
      </c>
      <c r="AO121" s="105">
        <f t="shared" si="79"/>
        <v>0.722604686318972</v>
      </c>
      <c r="AP121" s="106">
        <f t="shared" si="54"/>
        <v>0.108</v>
      </c>
      <c r="AQ121" s="107">
        <f t="shared" si="67"/>
        <v>0.0132</v>
      </c>
      <c r="AR121" s="105">
        <f t="shared" si="68"/>
        <v>3.43732620960029</v>
      </c>
      <c r="AS121" s="106">
        <f t="shared" si="69"/>
        <v>15.2</v>
      </c>
      <c r="AT121" s="107">
        <f t="shared" si="70"/>
        <v>81.5567631808167</v>
      </c>
    </row>
    <row r="122" spans="17:46">
      <c r="Q122">
        <v>115</v>
      </c>
      <c r="R122" s="105">
        <f t="shared" si="43"/>
        <v>10</v>
      </c>
      <c r="S122" s="106">
        <f t="shared" si="71"/>
        <v>1.53333333333333</v>
      </c>
      <c r="T122" s="106">
        <f t="shared" si="45"/>
        <v>4</v>
      </c>
      <c r="U122" s="107">
        <f t="shared" si="72"/>
        <v>3.83333333333333</v>
      </c>
      <c r="V122" s="105">
        <f t="shared" si="73"/>
        <v>2</v>
      </c>
      <c r="W122" s="106">
        <f t="shared" si="74"/>
        <v>0.714285714285714</v>
      </c>
      <c r="X122" s="107">
        <f t="shared" si="75"/>
        <v>0.285714285714286</v>
      </c>
      <c r="Y122" s="105">
        <f t="shared" si="55"/>
        <v>0.380952380952381</v>
      </c>
      <c r="Z122" s="106">
        <f t="shared" si="56"/>
        <v>5.74761904761905</v>
      </c>
      <c r="AA122" s="106">
        <f t="shared" si="57"/>
        <v>3.83491045147392</v>
      </c>
      <c r="AB122" s="106">
        <v>0</v>
      </c>
      <c r="AC122" s="106">
        <f t="shared" si="58"/>
        <v>0.147065381708239</v>
      </c>
      <c r="AD122" s="107">
        <f t="shared" si="59"/>
        <v>0.147065381708239</v>
      </c>
      <c r="AE122" s="105">
        <f t="shared" si="60"/>
        <v>4.1984126984127</v>
      </c>
      <c r="AF122" s="106">
        <f t="shared" si="61"/>
        <v>3.83491045147392</v>
      </c>
      <c r="AG122" s="106">
        <f t="shared" si="76"/>
        <v>1.10299036281179</v>
      </c>
      <c r="AH122" s="106">
        <f t="shared" si="77"/>
        <v>0.572190059537972</v>
      </c>
      <c r="AI122" s="107">
        <f t="shared" si="62"/>
        <v>1.67518042234976</v>
      </c>
      <c r="AJ122" s="105">
        <f t="shared" si="63"/>
        <v>1.53333333333333</v>
      </c>
      <c r="AK122" s="106">
        <f t="shared" si="64"/>
        <v>2.97099937303803</v>
      </c>
      <c r="AL122" s="106">
        <f t="shared" si="65"/>
        <v>0.950666666666667</v>
      </c>
      <c r="AM122" s="106">
        <f t="shared" si="78"/>
        <v>0</v>
      </c>
      <c r="AN122" s="107">
        <f t="shared" si="66"/>
        <v>0.950666666666667</v>
      </c>
      <c r="AO122" s="105">
        <f t="shared" si="79"/>
        <v>0.735326908541194</v>
      </c>
      <c r="AP122" s="106">
        <f t="shared" si="54"/>
        <v>0.108</v>
      </c>
      <c r="AQ122" s="107">
        <f t="shared" si="67"/>
        <v>0.0132</v>
      </c>
      <c r="AR122" s="105">
        <f t="shared" si="68"/>
        <v>3.48237399755762</v>
      </c>
      <c r="AS122" s="106">
        <f t="shared" si="69"/>
        <v>15.3333333333333</v>
      </c>
      <c r="AT122" s="107">
        <f t="shared" si="70"/>
        <v>81.4921972567016</v>
      </c>
    </row>
    <row r="123" spans="17:46">
      <c r="Q123">
        <v>116</v>
      </c>
      <c r="R123" s="105">
        <f t="shared" si="43"/>
        <v>10</v>
      </c>
      <c r="S123" s="106">
        <f t="shared" si="71"/>
        <v>1.54666666666667</v>
      </c>
      <c r="T123" s="106">
        <f t="shared" si="45"/>
        <v>4</v>
      </c>
      <c r="U123" s="107">
        <f t="shared" si="72"/>
        <v>3.86666666666667</v>
      </c>
      <c r="V123" s="105">
        <f t="shared" si="73"/>
        <v>2</v>
      </c>
      <c r="W123" s="106">
        <f t="shared" si="74"/>
        <v>0.714285714285714</v>
      </c>
      <c r="X123" s="107">
        <f t="shared" si="75"/>
        <v>0.285714285714286</v>
      </c>
      <c r="Y123" s="105">
        <f t="shared" si="55"/>
        <v>0.380952380952381</v>
      </c>
      <c r="Z123" s="106">
        <f t="shared" si="56"/>
        <v>5.79428571428572</v>
      </c>
      <c r="AA123" s="106">
        <f t="shared" si="57"/>
        <v>3.86823019448049</v>
      </c>
      <c r="AB123" s="106">
        <v>0</v>
      </c>
      <c r="AC123" s="106">
        <f t="shared" si="58"/>
        <v>0.149632048374906</v>
      </c>
      <c r="AD123" s="107">
        <f t="shared" si="59"/>
        <v>0.149632048374906</v>
      </c>
      <c r="AE123" s="105">
        <f t="shared" si="60"/>
        <v>4.27174603174603</v>
      </c>
      <c r="AF123" s="106">
        <f t="shared" si="61"/>
        <v>3.86823019448049</v>
      </c>
      <c r="AG123" s="106">
        <f t="shared" si="76"/>
        <v>1.12224036281179</v>
      </c>
      <c r="AH123" s="106">
        <f t="shared" si="77"/>
        <v>0.577165625273085</v>
      </c>
      <c r="AI123" s="107">
        <f t="shared" si="62"/>
        <v>1.69940598808488</v>
      </c>
      <c r="AJ123" s="105">
        <f t="shared" si="63"/>
        <v>1.54666666666667</v>
      </c>
      <c r="AK123" s="106">
        <f t="shared" si="64"/>
        <v>2.99593891343016</v>
      </c>
      <c r="AL123" s="106">
        <f t="shared" si="65"/>
        <v>0.958933333333333</v>
      </c>
      <c r="AM123" s="106">
        <f t="shared" si="78"/>
        <v>0</v>
      </c>
      <c r="AN123" s="107">
        <f t="shared" si="66"/>
        <v>0.958933333333333</v>
      </c>
      <c r="AO123" s="105">
        <f t="shared" si="79"/>
        <v>0.748160241874528</v>
      </c>
      <c r="AP123" s="106">
        <f t="shared" si="54"/>
        <v>0.108</v>
      </c>
      <c r="AQ123" s="107">
        <f t="shared" si="67"/>
        <v>0.0132</v>
      </c>
      <c r="AR123" s="105">
        <f t="shared" si="68"/>
        <v>3.52769956329274</v>
      </c>
      <c r="AS123" s="106">
        <f t="shared" si="69"/>
        <v>15.4666666666667</v>
      </c>
      <c r="AT123" s="107">
        <f t="shared" si="70"/>
        <v>81.4276532284158</v>
      </c>
    </row>
    <row r="124" spans="17:46">
      <c r="Q124">
        <v>117</v>
      </c>
      <c r="R124" s="105">
        <f t="shared" si="43"/>
        <v>10</v>
      </c>
      <c r="S124" s="106">
        <f t="shared" si="71"/>
        <v>1.56</v>
      </c>
      <c r="T124" s="106">
        <f t="shared" si="45"/>
        <v>4</v>
      </c>
      <c r="U124" s="107">
        <f t="shared" si="72"/>
        <v>3.9</v>
      </c>
      <c r="V124" s="105">
        <f t="shared" si="73"/>
        <v>2</v>
      </c>
      <c r="W124" s="106">
        <f t="shared" si="74"/>
        <v>0.714285714285714</v>
      </c>
      <c r="X124" s="107">
        <f t="shared" si="75"/>
        <v>0.285714285714286</v>
      </c>
      <c r="Y124" s="105">
        <f t="shared" si="55"/>
        <v>0.380952380952381</v>
      </c>
      <c r="Z124" s="106">
        <f t="shared" si="56"/>
        <v>5.84095238095238</v>
      </c>
      <c r="AA124" s="106">
        <f t="shared" si="57"/>
        <v>3.9015501696607</v>
      </c>
      <c r="AB124" s="106">
        <v>0</v>
      </c>
      <c r="AC124" s="106">
        <f t="shared" si="58"/>
        <v>0.152220937263794</v>
      </c>
      <c r="AD124" s="107">
        <f t="shared" si="59"/>
        <v>0.152220937263794</v>
      </c>
      <c r="AE124" s="105">
        <f t="shared" si="60"/>
        <v>4.34571428571429</v>
      </c>
      <c r="AF124" s="106">
        <f t="shared" si="61"/>
        <v>3.9015501696607</v>
      </c>
      <c r="AG124" s="106">
        <f t="shared" si="76"/>
        <v>1.14165702947846</v>
      </c>
      <c r="AH124" s="106">
        <f t="shared" si="77"/>
        <v>0.582141191008198</v>
      </c>
      <c r="AI124" s="107">
        <f t="shared" si="62"/>
        <v>1.72379822048666</v>
      </c>
      <c r="AJ124" s="105">
        <f t="shared" si="63"/>
        <v>1.56</v>
      </c>
      <c r="AK124" s="106">
        <f t="shared" si="64"/>
        <v>3.02087853378156</v>
      </c>
      <c r="AL124" s="106">
        <f t="shared" si="65"/>
        <v>0.9672</v>
      </c>
      <c r="AM124" s="106">
        <f t="shared" si="78"/>
        <v>0</v>
      </c>
      <c r="AN124" s="107">
        <f t="shared" si="66"/>
        <v>0.9672</v>
      </c>
      <c r="AO124" s="105">
        <f t="shared" si="79"/>
        <v>0.761104686318972</v>
      </c>
      <c r="AP124" s="106">
        <f t="shared" si="54"/>
        <v>0.108</v>
      </c>
      <c r="AQ124" s="107">
        <f t="shared" si="67"/>
        <v>0.0132</v>
      </c>
      <c r="AR124" s="105">
        <f t="shared" si="68"/>
        <v>3.57330290680563</v>
      </c>
      <c r="AS124" s="106">
        <f t="shared" si="69"/>
        <v>15.6</v>
      </c>
      <c r="AT124" s="107">
        <f t="shared" si="70"/>
        <v>81.363133289167</v>
      </c>
    </row>
    <row r="125" spans="17:46">
      <c r="Q125">
        <v>118</v>
      </c>
      <c r="R125" s="105">
        <f t="shared" si="43"/>
        <v>10</v>
      </c>
      <c r="S125" s="106">
        <f t="shared" si="71"/>
        <v>1.57333333333333</v>
      </c>
      <c r="T125" s="106">
        <f t="shared" si="45"/>
        <v>4</v>
      </c>
      <c r="U125" s="107">
        <f t="shared" si="72"/>
        <v>3.93333333333333</v>
      </c>
      <c r="V125" s="105">
        <f t="shared" si="73"/>
        <v>2</v>
      </c>
      <c r="W125" s="106">
        <f t="shared" si="74"/>
        <v>0.714285714285714</v>
      </c>
      <c r="X125" s="107">
        <f t="shared" si="75"/>
        <v>0.285714285714286</v>
      </c>
      <c r="Y125" s="105">
        <f t="shared" si="55"/>
        <v>0.380952380952381</v>
      </c>
      <c r="Z125" s="106">
        <f t="shared" si="56"/>
        <v>5.88761904761905</v>
      </c>
      <c r="AA125" s="106">
        <f t="shared" si="57"/>
        <v>3.93487037111651</v>
      </c>
      <c r="AB125" s="106">
        <v>0</v>
      </c>
      <c r="AC125" s="106">
        <f t="shared" si="58"/>
        <v>0.154832048374906</v>
      </c>
      <c r="AD125" s="107">
        <f t="shared" si="59"/>
        <v>0.154832048374906</v>
      </c>
      <c r="AE125" s="105">
        <f t="shared" si="60"/>
        <v>4.42031746031746</v>
      </c>
      <c r="AF125" s="106">
        <f t="shared" si="61"/>
        <v>3.93487037111651</v>
      </c>
      <c r="AG125" s="106">
        <f t="shared" si="76"/>
        <v>1.16124036281179</v>
      </c>
      <c r="AH125" s="106">
        <f t="shared" si="77"/>
        <v>0.587116756743311</v>
      </c>
      <c r="AI125" s="107">
        <f t="shared" si="62"/>
        <v>1.7483571195551</v>
      </c>
      <c r="AJ125" s="105">
        <f t="shared" si="63"/>
        <v>1.57333333333333</v>
      </c>
      <c r="AK125" s="106">
        <f t="shared" si="64"/>
        <v>3.04581823212808</v>
      </c>
      <c r="AL125" s="106">
        <f t="shared" si="65"/>
        <v>0.975466666666667</v>
      </c>
      <c r="AM125" s="106">
        <f t="shared" si="78"/>
        <v>0</v>
      </c>
      <c r="AN125" s="107">
        <f t="shared" si="66"/>
        <v>0.975466666666667</v>
      </c>
      <c r="AO125" s="105">
        <f t="shared" si="79"/>
        <v>0.774160241874528</v>
      </c>
      <c r="AP125" s="106">
        <f t="shared" si="54"/>
        <v>0.108</v>
      </c>
      <c r="AQ125" s="107">
        <f t="shared" si="67"/>
        <v>0.0132</v>
      </c>
      <c r="AR125" s="105">
        <f t="shared" si="68"/>
        <v>3.6191840280963</v>
      </c>
      <c r="AS125" s="106">
        <f t="shared" si="69"/>
        <v>15.7333333333333</v>
      </c>
      <c r="AT125" s="107">
        <f t="shared" si="70"/>
        <v>81.2986395490362</v>
      </c>
    </row>
    <row r="126" spans="17:46">
      <c r="Q126">
        <v>119</v>
      </c>
      <c r="R126" s="105">
        <f t="shared" si="43"/>
        <v>10</v>
      </c>
      <c r="S126" s="106">
        <f t="shared" si="71"/>
        <v>1.58666666666667</v>
      </c>
      <c r="T126" s="106">
        <f t="shared" si="45"/>
        <v>4</v>
      </c>
      <c r="U126" s="107">
        <f t="shared" si="72"/>
        <v>3.96666666666667</v>
      </c>
      <c r="V126" s="105">
        <f t="shared" si="73"/>
        <v>2</v>
      </c>
      <c r="W126" s="106">
        <f t="shared" si="74"/>
        <v>0.714285714285714</v>
      </c>
      <c r="X126" s="107">
        <f t="shared" si="75"/>
        <v>0.285714285714286</v>
      </c>
      <c r="Y126" s="105">
        <f t="shared" si="55"/>
        <v>0.380952380952381</v>
      </c>
      <c r="Z126" s="106">
        <f t="shared" si="56"/>
        <v>5.93428571428572</v>
      </c>
      <c r="AA126" s="106">
        <f t="shared" si="57"/>
        <v>3.96819079314792</v>
      </c>
      <c r="AB126" s="106">
        <v>0</v>
      </c>
      <c r="AC126" s="106">
        <f t="shared" si="58"/>
        <v>0.157465381708239</v>
      </c>
      <c r="AD126" s="107">
        <f t="shared" si="59"/>
        <v>0.157465381708239</v>
      </c>
      <c r="AE126" s="105">
        <f t="shared" si="60"/>
        <v>4.49555555555556</v>
      </c>
      <c r="AF126" s="106">
        <f t="shared" si="61"/>
        <v>3.96819079314792</v>
      </c>
      <c r="AG126" s="106">
        <f t="shared" si="76"/>
        <v>1.18099036281179</v>
      </c>
      <c r="AH126" s="106">
        <f t="shared" si="77"/>
        <v>0.592092322478424</v>
      </c>
      <c r="AI126" s="107">
        <f t="shared" si="62"/>
        <v>1.77308268529022</v>
      </c>
      <c r="AJ126" s="105">
        <f t="shared" si="63"/>
        <v>1.58666666666667</v>
      </c>
      <c r="AK126" s="106">
        <f t="shared" si="64"/>
        <v>3.07075800656936</v>
      </c>
      <c r="AL126" s="106">
        <f t="shared" si="65"/>
        <v>0.983733333333333</v>
      </c>
      <c r="AM126" s="106">
        <f t="shared" si="78"/>
        <v>0</v>
      </c>
      <c r="AN126" s="107">
        <f t="shared" si="66"/>
        <v>0.983733333333333</v>
      </c>
      <c r="AO126" s="105">
        <f t="shared" si="79"/>
        <v>0.787326908541194</v>
      </c>
      <c r="AP126" s="106">
        <f t="shared" si="54"/>
        <v>0.108</v>
      </c>
      <c r="AQ126" s="107">
        <f t="shared" si="67"/>
        <v>0.0132</v>
      </c>
      <c r="AR126" s="105">
        <f t="shared" si="68"/>
        <v>3.66534292716474</v>
      </c>
      <c r="AS126" s="106">
        <f t="shared" si="69"/>
        <v>15.8666666666667</v>
      </c>
      <c r="AT126" s="107">
        <f t="shared" si="70"/>
        <v>81.2341740384854</v>
      </c>
    </row>
    <row r="127" spans="17:46">
      <c r="Q127">
        <v>120</v>
      </c>
      <c r="R127" s="105">
        <f t="shared" si="43"/>
        <v>10</v>
      </c>
      <c r="S127" s="106">
        <f t="shared" si="71"/>
        <v>1.6</v>
      </c>
      <c r="T127" s="106">
        <f t="shared" si="45"/>
        <v>4</v>
      </c>
      <c r="U127" s="107">
        <f t="shared" si="72"/>
        <v>4</v>
      </c>
      <c r="V127" s="105">
        <f t="shared" si="73"/>
        <v>2</v>
      </c>
      <c r="W127" s="106">
        <f t="shared" si="74"/>
        <v>0.714285714285714</v>
      </c>
      <c r="X127" s="107">
        <f t="shared" si="75"/>
        <v>0.285714285714286</v>
      </c>
      <c r="Y127" s="105">
        <f t="shared" si="55"/>
        <v>0.380952380952381</v>
      </c>
      <c r="Z127" s="106">
        <f t="shared" si="56"/>
        <v>5.98095238095238</v>
      </c>
      <c r="AA127" s="106">
        <f t="shared" si="57"/>
        <v>4.00151143024476</v>
      </c>
      <c r="AB127" s="106">
        <v>0</v>
      </c>
      <c r="AC127" s="106">
        <f t="shared" si="58"/>
        <v>0.160120937263794</v>
      </c>
      <c r="AD127" s="107">
        <f t="shared" si="59"/>
        <v>0.160120937263794</v>
      </c>
      <c r="AE127" s="105">
        <f t="shared" si="60"/>
        <v>4.57142857142857</v>
      </c>
      <c r="AF127" s="106">
        <f t="shared" si="61"/>
        <v>4.00151143024476</v>
      </c>
      <c r="AG127" s="106">
        <f t="shared" si="76"/>
        <v>1.20090702947846</v>
      </c>
      <c r="AH127" s="106">
        <f t="shared" si="77"/>
        <v>0.597067888213536</v>
      </c>
      <c r="AI127" s="107">
        <f t="shared" si="62"/>
        <v>1.79797491769199</v>
      </c>
      <c r="AJ127" s="105">
        <f t="shared" si="63"/>
        <v>1.6</v>
      </c>
      <c r="AK127" s="106">
        <f t="shared" si="64"/>
        <v>3.09569785526629</v>
      </c>
      <c r="AL127" s="106">
        <f t="shared" si="65"/>
        <v>0.992</v>
      </c>
      <c r="AM127" s="106">
        <f t="shared" si="78"/>
        <v>0</v>
      </c>
      <c r="AN127" s="107">
        <f t="shared" si="66"/>
        <v>0.992</v>
      </c>
      <c r="AO127" s="105">
        <f t="shared" si="79"/>
        <v>0.800604686318972</v>
      </c>
      <c r="AP127" s="106">
        <f t="shared" si="54"/>
        <v>0.108</v>
      </c>
      <c r="AQ127" s="107">
        <f t="shared" si="67"/>
        <v>0.0132</v>
      </c>
      <c r="AR127" s="105">
        <f t="shared" si="68"/>
        <v>3.71177960401097</v>
      </c>
      <c r="AS127" s="106">
        <f t="shared" si="69"/>
        <v>16</v>
      </c>
      <c r="AT127" s="107">
        <f t="shared" si="70"/>
        <v>81.1697387116905</v>
      </c>
    </row>
    <row r="128" spans="17:46">
      <c r="Q128">
        <v>121</v>
      </c>
      <c r="R128" s="105">
        <f t="shared" si="43"/>
        <v>10</v>
      </c>
      <c r="S128" s="106">
        <f t="shared" si="71"/>
        <v>1.61333333333333</v>
      </c>
      <c r="T128" s="106">
        <f t="shared" si="45"/>
        <v>4</v>
      </c>
      <c r="U128" s="107">
        <f t="shared" si="72"/>
        <v>4.03333333333333</v>
      </c>
      <c r="V128" s="105">
        <f t="shared" si="73"/>
        <v>2</v>
      </c>
      <c r="W128" s="106">
        <f t="shared" si="74"/>
        <v>0.714285714285714</v>
      </c>
      <c r="X128" s="107">
        <f t="shared" si="75"/>
        <v>0.285714285714286</v>
      </c>
      <c r="Y128" s="105">
        <f t="shared" si="55"/>
        <v>0.380952380952381</v>
      </c>
      <c r="Z128" s="106">
        <f t="shared" si="56"/>
        <v>6.02761904761905</v>
      </c>
      <c r="AA128" s="106">
        <f t="shared" si="57"/>
        <v>4.03483227707884</v>
      </c>
      <c r="AB128" s="106">
        <v>0</v>
      </c>
      <c r="AC128" s="106">
        <f t="shared" si="58"/>
        <v>0.162798715041572</v>
      </c>
      <c r="AD128" s="107">
        <f t="shared" si="59"/>
        <v>0.162798715041572</v>
      </c>
      <c r="AE128" s="105">
        <f t="shared" si="60"/>
        <v>4.64793650793651</v>
      </c>
      <c r="AF128" s="106">
        <f t="shared" si="61"/>
        <v>4.03483227707884</v>
      </c>
      <c r="AG128" s="106">
        <f t="shared" si="76"/>
        <v>1.22099036281179</v>
      </c>
      <c r="AH128" s="106">
        <f t="shared" si="77"/>
        <v>0.602043453948649</v>
      </c>
      <c r="AI128" s="107">
        <f t="shared" si="62"/>
        <v>1.82303381676044</v>
      </c>
      <c r="AJ128" s="105">
        <f t="shared" si="63"/>
        <v>1.61333333333333</v>
      </c>
      <c r="AK128" s="106">
        <f t="shared" si="64"/>
        <v>3.12063777643853</v>
      </c>
      <c r="AL128" s="106">
        <f t="shared" si="65"/>
        <v>1.00026666666667</v>
      </c>
      <c r="AM128" s="106">
        <f t="shared" si="78"/>
        <v>0</v>
      </c>
      <c r="AN128" s="107">
        <f t="shared" si="66"/>
        <v>1.00026666666667</v>
      </c>
      <c r="AO128" s="105">
        <f t="shared" si="79"/>
        <v>0.813993575207861</v>
      </c>
      <c r="AP128" s="106">
        <f t="shared" si="54"/>
        <v>0.108</v>
      </c>
      <c r="AQ128" s="107">
        <f t="shared" si="67"/>
        <v>0.0132</v>
      </c>
      <c r="AR128" s="105">
        <f t="shared" si="68"/>
        <v>3.75849405863497</v>
      </c>
      <c r="AS128" s="106">
        <f t="shared" si="69"/>
        <v>16.1333333333333</v>
      </c>
      <c r="AT128" s="107">
        <f t="shared" si="70"/>
        <v>81.1053354497107</v>
      </c>
    </row>
    <row r="129" spans="17:46">
      <c r="Q129">
        <v>122</v>
      </c>
      <c r="R129" s="105">
        <f t="shared" si="43"/>
        <v>10</v>
      </c>
      <c r="S129" s="106">
        <f t="shared" si="71"/>
        <v>1.62666666666667</v>
      </c>
      <c r="T129" s="106">
        <f t="shared" si="45"/>
        <v>4</v>
      </c>
      <c r="U129" s="107">
        <f t="shared" si="72"/>
        <v>4.06666666666667</v>
      </c>
      <c r="V129" s="105">
        <f t="shared" si="73"/>
        <v>2</v>
      </c>
      <c r="W129" s="106">
        <f t="shared" si="74"/>
        <v>0.714285714285714</v>
      </c>
      <c r="X129" s="107">
        <f t="shared" si="75"/>
        <v>0.285714285714286</v>
      </c>
      <c r="Y129" s="105">
        <f t="shared" si="55"/>
        <v>0.380952380952381</v>
      </c>
      <c r="Z129" s="106">
        <f t="shared" si="56"/>
        <v>6.07428571428571</v>
      </c>
      <c r="AA129" s="106">
        <f t="shared" si="57"/>
        <v>4.06815332849651</v>
      </c>
      <c r="AB129" s="106">
        <v>0</v>
      </c>
      <c r="AC129" s="106">
        <f t="shared" si="58"/>
        <v>0.165498715041572</v>
      </c>
      <c r="AD129" s="107">
        <f t="shared" si="59"/>
        <v>0.165498715041572</v>
      </c>
      <c r="AE129" s="105">
        <f t="shared" si="60"/>
        <v>4.72507936507936</v>
      </c>
      <c r="AF129" s="106">
        <f t="shared" si="61"/>
        <v>4.06815332849651</v>
      </c>
      <c r="AG129" s="106">
        <f t="shared" si="76"/>
        <v>1.24124036281179</v>
      </c>
      <c r="AH129" s="106">
        <f t="shared" si="77"/>
        <v>0.607019019683762</v>
      </c>
      <c r="AI129" s="107">
        <f t="shared" si="62"/>
        <v>1.84825938249555</v>
      </c>
      <c r="AJ129" s="105">
        <f t="shared" si="63"/>
        <v>1.62666666666667</v>
      </c>
      <c r="AK129" s="106">
        <f t="shared" si="64"/>
        <v>3.14557776836221</v>
      </c>
      <c r="AL129" s="106">
        <f t="shared" si="65"/>
        <v>1.00853333333333</v>
      </c>
      <c r="AM129" s="106">
        <f t="shared" si="78"/>
        <v>0</v>
      </c>
      <c r="AN129" s="107">
        <f t="shared" si="66"/>
        <v>1.00853333333333</v>
      </c>
      <c r="AO129" s="105">
        <f t="shared" si="79"/>
        <v>0.827493575207861</v>
      </c>
      <c r="AP129" s="106">
        <f t="shared" si="54"/>
        <v>0.108</v>
      </c>
      <c r="AQ129" s="107">
        <f t="shared" si="67"/>
        <v>0.0132</v>
      </c>
      <c r="AR129" s="105">
        <f t="shared" si="68"/>
        <v>3.80548629103675</v>
      </c>
      <c r="AS129" s="106">
        <f t="shared" si="69"/>
        <v>16.2666666666667</v>
      </c>
      <c r="AT129" s="107">
        <f t="shared" si="70"/>
        <v>81.0409660635022</v>
      </c>
    </row>
    <row r="130" spans="17:46">
      <c r="Q130">
        <v>123</v>
      </c>
      <c r="R130" s="105">
        <f t="shared" si="43"/>
        <v>10</v>
      </c>
      <c r="S130" s="106">
        <f t="shared" si="71"/>
        <v>1.64</v>
      </c>
      <c r="T130" s="106">
        <f t="shared" si="45"/>
        <v>4</v>
      </c>
      <c r="U130" s="107">
        <f t="shared" si="72"/>
        <v>4.1</v>
      </c>
      <c r="V130" s="105">
        <f t="shared" si="73"/>
        <v>2</v>
      </c>
      <c r="W130" s="106">
        <f t="shared" si="74"/>
        <v>0.714285714285714</v>
      </c>
      <c r="X130" s="107">
        <f t="shared" si="75"/>
        <v>0.285714285714286</v>
      </c>
      <c r="Y130" s="105">
        <f t="shared" si="55"/>
        <v>0.380952380952381</v>
      </c>
      <c r="Z130" s="106">
        <f t="shared" si="56"/>
        <v>6.12095238095238</v>
      </c>
      <c r="AA130" s="106">
        <f t="shared" si="57"/>
        <v>4.10147457951155</v>
      </c>
      <c r="AB130" s="106">
        <v>0</v>
      </c>
      <c r="AC130" s="106">
        <f t="shared" si="58"/>
        <v>0.168220937263795</v>
      </c>
      <c r="AD130" s="107">
        <f t="shared" si="59"/>
        <v>0.168220937263795</v>
      </c>
      <c r="AE130" s="105">
        <f t="shared" si="60"/>
        <v>4.80285714285714</v>
      </c>
      <c r="AF130" s="106">
        <f t="shared" si="61"/>
        <v>4.10147457951155</v>
      </c>
      <c r="AG130" s="106">
        <f t="shared" si="76"/>
        <v>1.26165702947846</v>
      </c>
      <c r="AH130" s="106">
        <f t="shared" si="77"/>
        <v>0.611994585418875</v>
      </c>
      <c r="AI130" s="107">
        <f t="shared" si="62"/>
        <v>1.87365161489733</v>
      </c>
      <c r="AJ130" s="105">
        <f t="shared" si="63"/>
        <v>1.64</v>
      </c>
      <c r="AK130" s="106">
        <f t="shared" si="64"/>
        <v>3.17051782936769</v>
      </c>
      <c r="AL130" s="106">
        <f t="shared" si="65"/>
        <v>1.0168</v>
      </c>
      <c r="AM130" s="106">
        <f t="shared" si="78"/>
        <v>0</v>
      </c>
      <c r="AN130" s="107">
        <f t="shared" si="66"/>
        <v>1.0168</v>
      </c>
      <c r="AO130" s="105">
        <f t="shared" si="79"/>
        <v>0.841104686318973</v>
      </c>
      <c r="AP130" s="106">
        <f t="shared" si="54"/>
        <v>0.108</v>
      </c>
      <c r="AQ130" s="107">
        <f t="shared" si="67"/>
        <v>0.0132</v>
      </c>
      <c r="AR130" s="105">
        <f t="shared" si="68"/>
        <v>3.85275630121631</v>
      </c>
      <c r="AS130" s="106">
        <f t="shared" si="69"/>
        <v>16.4</v>
      </c>
      <c r="AT130" s="107">
        <f t="shared" si="70"/>
        <v>80.9766322967856</v>
      </c>
    </row>
    <row r="131" spans="17:46">
      <c r="Q131">
        <v>124</v>
      </c>
      <c r="R131" s="105">
        <f t="shared" si="43"/>
        <v>10</v>
      </c>
      <c r="S131" s="106">
        <f t="shared" si="71"/>
        <v>1.65333333333333</v>
      </c>
      <c r="T131" s="106">
        <f t="shared" si="45"/>
        <v>4</v>
      </c>
      <c r="U131" s="107">
        <f t="shared" si="72"/>
        <v>4.13333333333333</v>
      </c>
      <c r="V131" s="105">
        <f t="shared" si="73"/>
        <v>2</v>
      </c>
      <c r="W131" s="106">
        <f t="shared" si="74"/>
        <v>0.714285714285714</v>
      </c>
      <c r="X131" s="107">
        <f t="shared" si="75"/>
        <v>0.285714285714286</v>
      </c>
      <c r="Y131" s="105">
        <f t="shared" si="55"/>
        <v>0.380952380952381</v>
      </c>
      <c r="Z131" s="106">
        <f t="shared" si="56"/>
        <v>6.16761904761905</v>
      </c>
      <c r="AA131" s="106">
        <f t="shared" si="57"/>
        <v>4.13479602529845</v>
      </c>
      <c r="AB131" s="106">
        <v>0</v>
      </c>
      <c r="AC131" s="106">
        <f t="shared" si="58"/>
        <v>0.170965381708239</v>
      </c>
      <c r="AD131" s="107">
        <f t="shared" si="59"/>
        <v>0.170965381708239</v>
      </c>
      <c r="AE131" s="105">
        <f t="shared" si="60"/>
        <v>4.88126984126984</v>
      </c>
      <c r="AF131" s="106">
        <f t="shared" si="61"/>
        <v>4.13479602529845</v>
      </c>
      <c r="AG131" s="106">
        <f t="shared" si="76"/>
        <v>1.28224036281179</v>
      </c>
      <c r="AH131" s="106">
        <f t="shared" si="77"/>
        <v>0.616970151153988</v>
      </c>
      <c r="AI131" s="107">
        <f t="shared" si="62"/>
        <v>1.89921051396578</v>
      </c>
      <c r="AJ131" s="105">
        <f t="shared" si="63"/>
        <v>1.65333333333333</v>
      </c>
      <c r="AK131" s="106">
        <f t="shared" si="64"/>
        <v>3.19545795783745</v>
      </c>
      <c r="AL131" s="106">
        <f t="shared" si="65"/>
        <v>1.02506666666667</v>
      </c>
      <c r="AM131" s="106">
        <f t="shared" si="78"/>
        <v>0</v>
      </c>
      <c r="AN131" s="107">
        <f t="shared" si="66"/>
        <v>1.02506666666667</v>
      </c>
      <c r="AO131" s="105">
        <f t="shared" si="79"/>
        <v>0.854826908541195</v>
      </c>
      <c r="AP131" s="106">
        <f t="shared" si="54"/>
        <v>0.108</v>
      </c>
      <c r="AQ131" s="107">
        <f t="shared" si="67"/>
        <v>0.0132</v>
      </c>
      <c r="AR131" s="105">
        <f t="shared" si="68"/>
        <v>3.90030408917364</v>
      </c>
      <c r="AS131" s="106">
        <f t="shared" si="69"/>
        <v>16.5333333333333</v>
      </c>
      <c r="AT131" s="107">
        <f t="shared" si="70"/>
        <v>80.9123358287762</v>
      </c>
    </row>
    <row r="132" spans="17:46">
      <c r="Q132">
        <v>125</v>
      </c>
      <c r="R132" s="105">
        <f t="shared" si="43"/>
        <v>10</v>
      </c>
      <c r="S132" s="106">
        <f t="shared" si="71"/>
        <v>1.66666666666667</v>
      </c>
      <c r="T132" s="106">
        <f t="shared" si="45"/>
        <v>4</v>
      </c>
      <c r="U132" s="107">
        <f t="shared" si="72"/>
        <v>4.16666666666667</v>
      </c>
      <c r="V132" s="105">
        <f t="shared" si="73"/>
        <v>2</v>
      </c>
      <c r="W132" s="106">
        <f t="shared" si="74"/>
        <v>0.714285714285714</v>
      </c>
      <c r="X132" s="107">
        <f t="shared" si="75"/>
        <v>0.285714285714286</v>
      </c>
      <c r="Y132" s="105">
        <f t="shared" si="55"/>
        <v>0.380952380952381</v>
      </c>
      <c r="Z132" s="106">
        <f t="shared" si="56"/>
        <v>6.21428571428572</v>
      </c>
      <c r="AA132" s="106">
        <f t="shared" si="57"/>
        <v>4.16811766118599</v>
      </c>
      <c r="AB132" s="106">
        <v>0</v>
      </c>
      <c r="AC132" s="106">
        <f t="shared" si="58"/>
        <v>0.173732048374906</v>
      </c>
      <c r="AD132" s="107">
        <f t="shared" si="59"/>
        <v>0.173732048374906</v>
      </c>
      <c r="AE132" s="105">
        <f t="shared" si="60"/>
        <v>4.96031746031746</v>
      </c>
      <c r="AF132" s="106">
        <f t="shared" si="61"/>
        <v>4.16811766118599</v>
      </c>
      <c r="AG132" s="106">
        <f t="shared" si="76"/>
        <v>1.30299036281179</v>
      </c>
      <c r="AH132" s="106">
        <f t="shared" si="77"/>
        <v>0.6219457168891</v>
      </c>
      <c r="AI132" s="107">
        <f t="shared" si="62"/>
        <v>1.92493607970089</v>
      </c>
      <c r="AJ132" s="105">
        <f t="shared" si="63"/>
        <v>1.66666666666667</v>
      </c>
      <c r="AK132" s="106">
        <f t="shared" si="64"/>
        <v>3.22039815220407</v>
      </c>
      <c r="AL132" s="106">
        <f t="shared" si="65"/>
        <v>1.03333333333333</v>
      </c>
      <c r="AM132" s="106">
        <f t="shared" si="78"/>
        <v>0</v>
      </c>
      <c r="AN132" s="107">
        <f t="shared" si="66"/>
        <v>1.03333333333333</v>
      </c>
      <c r="AO132" s="105">
        <f t="shared" si="79"/>
        <v>0.868660241874528</v>
      </c>
      <c r="AP132" s="106">
        <f t="shared" si="54"/>
        <v>0.108</v>
      </c>
      <c r="AQ132" s="107">
        <f t="shared" si="67"/>
        <v>0.0132</v>
      </c>
      <c r="AR132" s="105">
        <f t="shared" si="68"/>
        <v>3.94812965490875</v>
      </c>
      <c r="AS132" s="106">
        <f t="shared" si="69"/>
        <v>16.6666666666667</v>
      </c>
      <c r="AT132" s="107">
        <f t="shared" si="70"/>
        <v>80.848078276783</v>
      </c>
    </row>
    <row r="133" spans="17:46">
      <c r="Q133">
        <v>126</v>
      </c>
      <c r="R133" s="105">
        <f t="shared" si="43"/>
        <v>10</v>
      </c>
      <c r="S133" s="106">
        <f t="shared" si="71"/>
        <v>1.68</v>
      </c>
      <c r="T133" s="106">
        <f t="shared" si="45"/>
        <v>4</v>
      </c>
      <c r="U133" s="107">
        <f t="shared" si="72"/>
        <v>4.2</v>
      </c>
      <c r="V133" s="105">
        <f t="shared" si="73"/>
        <v>2</v>
      </c>
      <c r="W133" s="106">
        <f t="shared" si="74"/>
        <v>0.714285714285714</v>
      </c>
      <c r="X133" s="107">
        <f t="shared" si="75"/>
        <v>0.285714285714286</v>
      </c>
      <c r="Y133" s="105">
        <f t="shared" si="55"/>
        <v>0.380952380952381</v>
      </c>
      <c r="Z133" s="106">
        <f t="shared" si="56"/>
        <v>6.26095238095238</v>
      </c>
      <c r="AA133" s="106">
        <f t="shared" si="57"/>
        <v>4.20143948265109</v>
      </c>
      <c r="AB133" s="106">
        <v>0</v>
      </c>
      <c r="AC133" s="106">
        <f t="shared" si="58"/>
        <v>0.176520937263794</v>
      </c>
      <c r="AD133" s="107">
        <f t="shared" si="59"/>
        <v>0.176520937263794</v>
      </c>
      <c r="AE133" s="105">
        <f t="shared" si="60"/>
        <v>5.04</v>
      </c>
      <c r="AF133" s="106">
        <f t="shared" si="61"/>
        <v>4.20143948265109</v>
      </c>
      <c r="AG133" s="106">
        <f t="shared" si="76"/>
        <v>1.32390702947846</v>
      </c>
      <c r="AH133" s="106">
        <f t="shared" si="77"/>
        <v>0.626921282624213</v>
      </c>
      <c r="AI133" s="107">
        <f t="shared" si="62"/>
        <v>1.95082831210267</v>
      </c>
      <c r="AJ133" s="105">
        <f t="shared" si="63"/>
        <v>1.68</v>
      </c>
      <c r="AK133" s="106">
        <f t="shared" si="64"/>
        <v>3.24533841094831</v>
      </c>
      <c r="AL133" s="106">
        <f t="shared" si="65"/>
        <v>1.0416</v>
      </c>
      <c r="AM133" s="106">
        <f t="shared" si="78"/>
        <v>0</v>
      </c>
      <c r="AN133" s="107">
        <f t="shared" si="66"/>
        <v>1.0416</v>
      </c>
      <c r="AO133" s="105">
        <f t="shared" si="79"/>
        <v>0.882604686318972</v>
      </c>
      <c r="AP133" s="106">
        <f t="shared" si="54"/>
        <v>0.108</v>
      </c>
      <c r="AQ133" s="107">
        <f t="shared" si="67"/>
        <v>0.0132</v>
      </c>
      <c r="AR133" s="105">
        <f t="shared" si="68"/>
        <v>3.99623299842164</v>
      </c>
      <c r="AS133" s="106">
        <f t="shared" si="69"/>
        <v>16.8</v>
      </c>
      <c r="AT133" s="107">
        <f t="shared" si="70"/>
        <v>80.7838611986847</v>
      </c>
    </row>
    <row r="134" spans="17:46">
      <c r="Q134">
        <v>127</v>
      </c>
      <c r="R134" s="105">
        <f t="shared" si="43"/>
        <v>10</v>
      </c>
      <c r="S134" s="106">
        <f t="shared" si="71"/>
        <v>1.69333333333333</v>
      </c>
      <c r="T134" s="106">
        <f t="shared" si="45"/>
        <v>4</v>
      </c>
      <c r="U134" s="107">
        <f t="shared" si="72"/>
        <v>4.23333333333333</v>
      </c>
      <c r="V134" s="105">
        <f t="shared" si="73"/>
        <v>2</v>
      </c>
      <c r="W134" s="106">
        <f t="shared" si="74"/>
        <v>0.714285714285714</v>
      </c>
      <c r="X134" s="107">
        <f t="shared" si="75"/>
        <v>0.285714285714286</v>
      </c>
      <c r="Y134" s="105">
        <f t="shared" si="55"/>
        <v>0.380952380952381</v>
      </c>
      <c r="Z134" s="106">
        <f t="shared" si="56"/>
        <v>6.30761904761905</v>
      </c>
      <c r="AA134" s="106">
        <f t="shared" si="57"/>
        <v>4.23476148531302</v>
      </c>
      <c r="AB134" s="106">
        <v>0</v>
      </c>
      <c r="AC134" s="106">
        <f t="shared" si="58"/>
        <v>0.179332048374906</v>
      </c>
      <c r="AD134" s="107">
        <f t="shared" si="59"/>
        <v>0.179332048374906</v>
      </c>
      <c r="AE134" s="105">
        <f t="shared" si="60"/>
        <v>5.12031746031746</v>
      </c>
      <c r="AF134" s="106">
        <f t="shared" si="61"/>
        <v>4.23476148531302</v>
      </c>
      <c r="AG134" s="106">
        <f t="shared" si="76"/>
        <v>1.34499036281179</v>
      </c>
      <c r="AH134" s="106">
        <f t="shared" si="77"/>
        <v>0.631896848359326</v>
      </c>
      <c r="AI134" s="107">
        <f t="shared" si="62"/>
        <v>1.97688721117112</v>
      </c>
      <c r="AJ134" s="105">
        <f t="shared" si="63"/>
        <v>1.69333333333333</v>
      </c>
      <c r="AK134" s="106">
        <f t="shared" si="64"/>
        <v>3.27027873259728</v>
      </c>
      <c r="AL134" s="106">
        <f t="shared" si="65"/>
        <v>1.04986666666667</v>
      </c>
      <c r="AM134" s="106">
        <f t="shared" si="78"/>
        <v>0</v>
      </c>
      <c r="AN134" s="107">
        <f t="shared" si="66"/>
        <v>1.04986666666667</v>
      </c>
      <c r="AO134" s="105">
        <f t="shared" si="79"/>
        <v>0.896660241874528</v>
      </c>
      <c r="AP134" s="106">
        <f t="shared" si="54"/>
        <v>0.108</v>
      </c>
      <c r="AQ134" s="107">
        <f t="shared" si="67"/>
        <v>0.0132</v>
      </c>
      <c r="AR134" s="105">
        <f t="shared" si="68"/>
        <v>4.04461411971231</v>
      </c>
      <c r="AS134" s="106">
        <f t="shared" si="69"/>
        <v>16.9333333333333</v>
      </c>
      <c r="AT134" s="107">
        <f t="shared" si="70"/>
        <v>80.71968609529</v>
      </c>
    </row>
    <row r="135" spans="17:46">
      <c r="Q135">
        <v>128</v>
      </c>
      <c r="R135" s="105">
        <f t="shared" ref="R135:R157" si="80">VOUT</f>
        <v>10</v>
      </c>
      <c r="S135" s="106">
        <f t="shared" ref="S135:S157" si="81">Q135*$O$12</f>
        <v>1.70666666666667</v>
      </c>
      <c r="T135" s="106">
        <f t="shared" ref="T135:T157" si="82">VIN_var</f>
        <v>4</v>
      </c>
      <c r="U135" s="107">
        <f t="shared" ref="U135:U157" si="83">(R135*S135)/(T135*EFF_est)</f>
        <v>4.26666666666667</v>
      </c>
      <c r="V135" s="105">
        <f t="shared" ref="V135:V157" si="84">IF(S135&lt;((T135^2)*R135)/(2*Fsw*Lm*((T135+R135)^2)),1,2)</f>
        <v>2</v>
      </c>
      <c r="W135" s="106">
        <f t="shared" ref="W135:W157" si="85">CHOOSE(V135,SQRT(2*Lm*R135*S135*Fsw)/T135,R135/(T135+R135))</f>
        <v>0.714285714285714</v>
      </c>
      <c r="X135" s="107">
        <f t="shared" ref="X135:X157" si="86">CHOOSE(V135,(Lm*Z135*Fsw)/(R135),1-W135)</f>
        <v>0.285714285714286</v>
      </c>
      <c r="Y135" s="105">
        <f t="shared" si="55"/>
        <v>0.380952380952381</v>
      </c>
      <c r="Z135" s="106">
        <f t="shared" si="56"/>
        <v>6.35428571428571</v>
      </c>
      <c r="AA135" s="106">
        <f t="shared" si="57"/>
        <v>4.26808366492784</v>
      </c>
      <c r="AB135" s="106">
        <v>0</v>
      </c>
      <c r="AC135" s="106">
        <f t="shared" si="58"/>
        <v>0.182165381708239</v>
      </c>
      <c r="AD135" s="107">
        <f t="shared" si="59"/>
        <v>0.182165381708239</v>
      </c>
      <c r="AE135" s="105">
        <f t="shared" si="60"/>
        <v>5.20126984126984</v>
      </c>
      <c r="AF135" s="106">
        <f t="shared" si="61"/>
        <v>4.26808366492784</v>
      </c>
      <c r="AG135" s="106">
        <f t="shared" ref="AG135:AG157" si="87">(AF135^2)*RDS_on</f>
        <v>1.36624036281179</v>
      </c>
      <c r="AH135" s="106">
        <f t="shared" ref="AH135:AH157" si="88">(((R135+T135)*(U135+S135))/2)*Fsw*(tr_sw+tf_sw)</f>
        <v>0.636872414094439</v>
      </c>
      <c r="AI135" s="107">
        <f t="shared" si="62"/>
        <v>2.00311277690623</v>
      </c>
      <c r="AJ135" s="105">
        <f t="shared" si="63"/>
        <v>1.70666666666667</v>
      </c>
      <c r="AK135" s="106">
        <f t="shared" si="64"/>
        <v>3.29521911572267</v>
      </c>
      <c r="AL135" s="106">
        <f t="shared" si="65"/>
        <v>1.05813333333333</v>
      </c>
      <c r="AM135" s="106">
        <f t="shared" ref="AM135:AM157" si="89">(R135+T135+Vd_rect)*Qrr*Fsw</f>
        <v>0</v>
      </c>
      <c r="AN135" s="107">
        <f t="shared" si="66"/>
        <v>1.05813333333333</v>
      </c>
      <c r="AO135" s="105">
        <f t="shared" ref="AO135:AO157" si="90">(AF135^2)*R_cs</f>
        <v>0.910826908541194</v>
      </c>
      <c r="AP135" s="106">
        <f t="shared" ref="AP135:AP157" si="91">Qg_tot*Vcc*Fsw</f>
        <v>0.108</v>
      </c>
      <c r="AQ135" s="107">
        <f t="shared" si="67"/>
        <v>0.0132</v>
      </c>
      <c r="AR135" s="105">
        <f t="shared" si="68"/>
        <v>4.09327301878076</v>
      </c>
      <c r="AS135" s="106">
        <f t="shared" si="69"/>
        <v>17.0666666666667</v>
      </c>
      <c r="AT135" s="107">
        <f t="shared" si="70"/>
        <v>80.6555544125871</v>
      </c>
    </row>
    <row r="136" spans="17:46">
      <c r="Q136">
        <v>129</v>
      </c>
      <c r="R136" s="105">
        <f t="shared" si="80"/>
        <v>10</v>
      </c>
      <c r="S136" s="106">
        <f t="shared" si="81"/>
        <v>1.72</v>
      </c>
      <c r="T136" s="106">
        <f t="shared" si="82"/>
        <v>4</v>
      </c>
      <c r="U136" s="107">
        <f t="shared" si="83"/>
        <v>4.3</v>
      </c>
      <c r="V136" s="105">
        <f t="shared" si="84"/>
        <v>2</v>
      </c>
      <c r="W136" s="106">
        <f t="shared" si="85"/>
        <v>0.714285714285714</v>
      </c>
      <c r="X136" s="107">
        <f t="shared" si="86"/>
        <v>0.285714285714286</v>
      </c>
      <c r="Y136" s="105">
        <f t="shared" ref="Y136:Y157" si="92">(T136*W136)/(Lm*Fsw)</f>
        <v>0.380952380952381</v>
      </c>
      <c r="Z136" s="106">
        <f t="shared" ref="Z136:Z157" si="93">CHOOSE(V136,Y136,U136+S136+(Y136))</f>
        <v>6.40095238095238</v>
      </c>
      <c r="AA136" s="106">
        <f t="shared" ref="AA136:AA157" si="94">CHOOSE(V136,Z136*SQRT((W136+X136)/3),SQRT((U136^2)+((Y136^2)/12)))</f>
        <v>4.30140601738309</v>
      </c>
      <c r="AB136" s="106">
        <v>0</v>
      </c>
      <c r="AC136" s="106">
        <f t="shared" ref="AC136:AC157" si="95">(AA136^2)*Rdcr</f>
        <v>0.185020937263794</v>
      </c>
      <c r="AD136" s="107">
        <f t="shared" ref="AD136:AD157" si="96">AB136+AC136</f>
        <v>0.185020937263794</v>
      </c>
      <c r="AE136" s="105">
        <f t="shared" ref="AE136:AE157" si="97">U136*S136*W136</f>
        <v>5.28285714285714</v>
      </c>
      <c r="AF136" s="106">
        <f t="shared" ref="AF136:AF157" si="98">AA136</f>
        <v>4.30140601738309</v>
      </c>
      <c r="AG136" s="106">
        <f t="shared" si="87"/>
        <v>1.38765702947846</v>
      </c>
      <c r="AH136" s="106">
        <f t="shared" si="88"/>
        <v>0.641847979829552</v>
      </c>
      <c r="AI136" s="107">
        <f t="shared" ref="AI136:AI157" si="99">AG136+AH136</f>
        <v>2.02950500930801</v>
      </c>
      <c r="AJ136" s="105">
        <f t="shared" ref="AJ136:AJ157" si="100">S136</f>
        <v>1.72</v>
      </c>
      <c r="AK136" s="106">
        <f t="shared" ref="AK136:AK157" si="101">CHOOSE(V136,Z136*SQRT(X136/3),SQRT(X136*((Z136^2)+((Y136^2)/3)-(Y136*Z136))))</f>
        <v>3.32015955893909</v>
      </c>
      <c r="AL136" s="106">
        <f t="shared" ref="AL136:AL157" si="102">S136*Vd_rect</f>
        <v>1.0664</v>
      </c>
      <c r="AM136" s="106">
        <f t="shared" si="89"/>
        <v>0</v>
      </c>
      <c r="AN136" s="107">
        <f t="shared" ref="AN136:AN157" si="103">AL136+AM136</f>
        <v>1.0664</v>
      </c>
      <c r="AO136" s="105">
        <f t="shared" si="90"/>
        <v>0.925104686318972</v>
      </c>
      <c r="AP136" s="106">
        <f t="shared" si="91"/>
        <v>0.108</v>
      </c>
      <c r="AQ136" s="107">
        <f t="shared" ref="AQ136:AQ157" si="104">IQ*T136</f>
        <v>0.0132</v>
      </c>
      <c r="AR136" s="105">
        <f t="shared" ref="AR136:AR157" si="105">AO136+AN136+AI136+AP136+AQ136</f>
        <v>4.14220969562698</v>
      </c>
      <c r="AS136" s="106">
        <f t="shared" ref="AS136:AS157" si="106">R136*S136</f>
        <v>17.2</v>
      </c>
      <c r="AT136" s="107">
        <f t="shared" ref="AT136:AT157" si="107">(AS136/(AS136+AR136))*100</f>
        <v>80.5914675438892</v>
      </c>
    </row>
    <row r="137" spans="17:46">
      <c r="Q137">
        <v>130</v>
      </c>
      <c r="R137" s="105">
        <f t="shared" si="80"/>
        <v>10</v>
      </c>
      <c r="S137" s="106">
        <f t="shared" si="81"/>
        <v>1.73333333333333</v>
      </c>
      <c r="T137" s="106">
        <f t="shared" si="82"/>
        <v>4</v>
      </c>
      <c r="U137" s="107">
        <f t="shared" si="83"/>
        <v>4.33333333333333</v>
      </c>
      <c r="V137" s="105">
        <f t="shared" si="84"/>
        <v>2</v>
      </c>
      <c r="W137" s="106">
        <f t="shared" si="85"/>
        <v>0.714285714285714</v>
      </c>
      <c r="X137" s="107">
        <f t="shared" si="86"/>
        <v>0.285714285714286</v>
      </c>
      <c r="Y137" s="105">
        <f t="shared" si="92"/>
        <v>0.380952380952381</v>
      </c>
      <c r="Z137" s="106">
        <f t="shared" si="93"/>
        <v>6.44761904761905</v>
      </c>
      <c r="AA137" s="106">
        <f t="shared" si="94"/>
        <v>4.33472853869273</v>
      </c>
      <c r="AB137" s="106">
        <v>0</v>
      </c>
      <c r="AC137" s="106">
        <f t="shared" si="95"/>
        <v>0.187898715041572</v>
      </c>
      <c r="AD137" s="107">
        <f t="shared" si="96"/>
        <v>0.187898715041572</v>
      </c>
      <c r="AE137" s="105">
        <f t="shared" si="97"/>
        <v>5.36507936507937</v>
      </c>
      <c r="AF137" s="106">
        <f t="shared" si="98"/>
        <v>4.33472853869273</v>
      </c>
      <c r="AG137" s="106">
        <f t="shared" si="87"/>
        <v>1.40924036281179</v>
      </c>
      <c r="AH137" s="106">
        <f t="shared" si="88"/>
        <v>0.646823545564664</v>
      </c>
      <c r="AI137" s="107">
        <f t="shared" si="99"/>
        <v>2.05606390837646</v>
      </c>
      <c r="AJ137" s="105">
        <f t="shared" si="100"/>
        <v>1.73333333333333</v>
      </c>
      <c r="AK137" s="106">
        <f t="shared" si="101"/>
        <v>3.34510006090244</v>
      </c>
      <c r="AL137" s="106">
        <f t="shared" si="102"/>
        <v>1.07466666666667</v>
      </c>
      <c r="AM137" s="106">
        <f t="shared" si="89"/>
        <v>0</v>
      </c>
      <c r="AN137" s="107">
        <f t="shared" si="103"/>
        <v>1.07466666666667</v>
      </c>
      <c r="AO137" s="105">
        <f t="shared" si="90"/>
        <v>0.939493575207861</v>
      </c>
      <c r="AP137" s="106">
        <f t="shared" si="91"/>
        <v>0.108</v>
      </c>
      <c r="AQ137" s="107">
        <f t="shared" si="104"/>
        <v>0.0132</v>
      </c>
      <c r="AR137" s="105">
        <f t="shared" si="105"/>
        <v>4.19142415025098</v>
      </c>
      <c r="AS137" s="106">
        <f t="shared" si="106"/>
        <v>17.3333333333333</v>
      </c>
      <c r="AT137" s="107">
        <f t="shared" si="107"/>
        <v>80.5274268318817</v>
      </c>
    </row>
    <row r="138" spans="17:46">
      <c r="Q138">
        <v>131</v>
      </c>
      <c r="R138" s="105">
        <f t="shared" si="80"/>
        <v>10</v>
      </c>
      <c r="S138" s="106">
        <f t="shared" si="81"/>
        <v>1.74666666666667</v>
      </c>
      <c r="T138" s="106">
        <f t="shared" si="82"/>
        <v>4</v>
      </c>
      <c r="U138" s="107">
        <f t="shared" si="83"/>
        <v>4.36666666666667</v>
      </c>
      <c r="V138" s="105">
        <f t="shared" si="84"/>
        <v>2</v>
      </c>
      <c r="W138" s="106">
        <f t="shared" si="85"/>
        <v>0.714285714285714</v>
      </c>
      <c r="X138" s="107">
        <f t="shared" si="86"/>
        <v>0.285714285714286</v>
      </c>
      <c r="Y138" s="105">
        <f t="shared" si="92"/>
        <v>0.380952380952381</v>
      </c>
      <c r="Z138" s="106">
        <f t="shared" si="93"/>
        <v>6.49428571428572</v>
      </c>
      <c r="AA138" s="106">
        <f t="shared" si="94"/>
        <v>4.36805122499236</v>
      </c>
      <c r="AB138" s="106">
        <v>0</v>
      </c>
      <c r="AC138" s="106">
        <f t="shared" si="95"/>
        <v>0.190798715041572</v>
      </c>
      <c r="AD138" s="107">
        <f t="shared" si="96"/>
        <v>0.190798715041572</v>
      </c>
      <c r="AE138" s="105">
        <f t="shared" si="97"/>
        <v>5.44793650793651</v>
      </c>
      <c r="AF138" s="106">
        <f t="shared" si="98"/>
        <v>4.36805122499236</v>
      </c>
      <c r="AG138" s="106">
        <f t="shared" si="87"/>
        <v>1.43099036281179</v>
      </c>
      <c r="AH138" s="106">
        <f t="shared" si="88"/>
        <v>0.651799111299777</v>
      </c>
      <c r="AI138" s="107">
        <f t="shared" si="99"/>
        <v>2.08278947411157</v>
      </c>
      <c r="AJ138" s="105">
        <f t="shared" si="100"/>
        <v>1.74666666666667</v>
      </c>
      <c r="AK138" s="106">
        <f t="shared" si="101"/>
        <v>3.37004062030844</v>
      </c>
      <c r="AL138" s="106">
        <f t="shared" si="102"/>
        <v>1.08293333333333</v>
      </c>
      <c r="AM138" s="106">
        <f t="shared" si="89"/>
        <v>0</v>
      </c>
      <c r="AN138" s="107">
        <f t="shared" si="103"/>
        <v>1.08293333333333</v>
      </c>
      <c r="AO138" s="105">
        <f t="shared" si="90"/>
        <v>0.953993575207861</v>
      </c>
      <c r="AP138" s="106">
        <f t="shared" si="91"/>
        <v>0.108</v>
      </c>
      <c r="AQ138" s="107">
        <f t="shared" si="104"/>
        <v>0.0132</v>
      </c>
      <c r="AR138" s="105">
        <f t="shared" si="105"/>
        <v>4.24091638265276</v>
      </c>
      <c r="AS138" s="106">
        <f t="shared" si="106"/>
        <v>17.4666666666667</v>
      </c>
      <c r="AT138" s="107">
        <f t="shared" si="107"/>
        <v>80.4634335705756</v>
      </c>
    </row>
    <row r="139" spans="17:46">
      <c r="Q139">
        <v>132</v>
      </c>
      <c r="R139" s="105">
        <f t="shared" si="80"/>
        <v>10</v>
      </c>
      <c r="S139" s="106">
        <f t="shared" si="81"/>
        <v>1.76</v>
      </c>
      <c r="T139" s="106">
        <f t="shared" si="82"/>
        <v>4</v>
      </c>
      <c r="U139" s="107">
        <f t="shared" si="83"/>
        <v>4.4</v>
      </c>
      <c r="V139" s="105">
        <f t="shared" si="84"/>
        <v>2</v>
      </c>
      <c r="W139" s="106">
        <f t="shared" si="85"/>
        <v>0.714285714285714</v>
      </c>
      <c r="X139" s="107">
        <f t="shared" si="86"/>
        <v>0.285714285714286</v>
      </c>
      <c r="Y139" s="105">
        <f t="shared" si="92"/>
        <v>0.380952380952381</v>
      </c>
      <c r="Z139" s="106">
        <f t="shared" si="93"/>
        <v>6.54095238095238</v>
      </c>
      <c r="AA139" s="106">
        <f t="shared" si="94"/>
        <v>4.40137407253456</v>
      </c>
      <c r="AB139" s="106">
        <v>0</v>
      </c>
      <c r="AC139" s="106">
        <f t="shared" si="95"/>
        <v>0.193720937263794</v>
      </c>
      <c r="AD139" s="107">
        <f t="shared" si="96"/>
        <v>0.193720937263794</v>
      </c>
      <c r="AE139" s="105">
        <f t="shared" si="97"/>
        <v>5.53142857142857</v>
      </c>
      <c r="AF139" s="106">
        <f t="shared" si="98"/>
        <v>4.40137407253456</v>
      </c>
      <c r="AG139" s="106">
        <f t="shared" si="87"/>
        <v>1.45290702947846</v>
      </c>
      <c r="AH139" s="106">
        <f t="shared" si="88"/>
        <v>0.65677467703489</v>
      </c>
      <c r="AI139" s="107">
        <f t="shared" si="99"/>
        <v>2.10968170651335</v>
      </c>
      <c r="AJ139" s="105">
        <f t="shared" si="100"/>
        <v>1.76</v>
      </c>
      <c r="AK139" s="106">
        <f t="shared" si="101"/>
        <v>3.3949812358911</v>
      </c>
      <c r="AL139" s="106">
        <f t="shared" si="102"/>
        <v>1.0912</v>
      </c>
      <c r="AM139" s="106">
        <f t="shared" si="89"/>
        <v>0</v>
      </c>
      <c r="AN139" s="107">
        <f t="shared" si="103"/>
        <v>1.0912</v>
      </c>
      <c r="AO139" s="105">
        <f t="shared" si="90"/>
        <v>0.968604686318972</v>
      </c>
      <c r="AP139" s="106">
        <f t="shared" si="91"/>
        <v>0.108</v>
      </c>
      <c r="AQ139" s="107">
        <f t="shared" si="104"/>
        <v>0.0132</v>
      </c>
      <c r="AR139" s="105">
        <f t="shared" si="105"/>
        <v>4.29068639283232</v>
      </c>
      <c r="AS139" s="106">
        <f t="shared" si="106"/>
        <v>17.6</v>
      </c>
      <c r="AT139" s="107">
        <f t="shared" si="107"/>
        <v>80.3994890071733</v>
      </c>
    </row>
    <row r="140" spans="17:46">
      <c r="Q140">
        <v>133</v>
      </c>
      <c r="R140" s="105">
        <f t="shared" si="80"/>
        <v>10</v>
      </c>
      <c r="S140" s="106">
        <f t="shared" si="81"/>
        <v>1.77333333333333</v>
      </c>
      <c r="T140" s="106">
        <f t="shared" si="82"/>
        <v>4</v>
      </c>
      <c r="U140" s="107">
        <f t="shared" si="83"/>
        <v>4.43333333333333</v>
      </c>
      <c r="V140" s="105">
        <f t="shared" si="84"/>
        <v>2</v>
      </c>
      <c r="W140" s="106">
        <f t="shared" si="85"/>
        <v>0.714285714285714</v>
      </c>
      <c r="X140" s="107">
        <f t="shared" si="86"/>
        <v>0.285714285714286</v>
      </c>
      <c r="Y140" s="105">
        <f t="shared" si="92"/>
        <v>0.380952380952381</v>
      </c>
      <c r="Z140" s="106">
        <f t="shared" si="93"/>
        <v>6.58761904761905</v>
      </c>
      <c r="AA140" s="106">
        <f t="shared" si="94"/>
        <v>4.43469707768455</v>
      </c>
      <c r="AB140" s="106">
        <v>0</v>
      </c>
      <c r="AC140" s="106">
        <f t="shared" si="95"/>
        <v>0.196665381708239</v>
      </c>
      <c r="AD140" s="107">
        <f t="shared" si="96"/>
        <v>0.196665381708239</v>
      </c>
      <c r="AE140" s="105">
        <f t="shared" si="97"/>
        <v>5.61555555555556</v>
      </c>
      <c r="AF140" s="106">
        <f t="shared" si="98"/>
        <v>4.43469707768455</v>
      </c>
      <c r="AG140" s="106">
        <f t="shared" si="87"/>
        <v>1.47499036281179</v>
      </c>
      <c r="AH140" s="106">
        <f t="shared" si="88"/>
        <v>0.661750242770003</v>
      </c>
      <c r="AI140" s="107">
        <f t="shared" si="99"/>
        <v>2.13674060558179</v>
      </c>
      <c r="AJ140" s="105">
        <f t="shared" si="100"/>
        <v>1.77333333333333</v>
      </c>
      <c r="AK140" s="106">
        <f t="shared" si="101"/>
        <v>3.4199219064214</v>
      </c>
      <c r="AL140" s="106">
        <f t="shared" si="102"/>
        <v>1.09946666666667</v>
      </c>
      <c r="AM140" s="106">
        <f t="shared" si="89"/>
        <v>0</v>
      </c>
      <c r="AN140" s="107">
        <f t="shared" si="103"/>
        <v>1.09946666666667</v>
      </c>
      <c r="AO140" s="105">
        <f t="shared" si="90"/>
        <v>0.983326908541195</v>
      </c>
      <c r="AP140" s="106">
        <f t="shared" si="91"/>
        <v>0.108</v>
      </c>
      <c r="AQ140" s="107">
        <f t="shared" si="104"/>
        <v>0.0132</v>
      </c>
      <c r="AR140" s="105">
        <f t="shared" si="105"/>
        <v>4.34073418078966</v>
      </c>
      <c r="AS140" s="106">
        <f t="shared" si="106"/>
        <v>17.7333333333333</v>
      </c>
      <c r="AT140" s="107">
        <f t="shared" si="107"/>
        <v>80.3355943438496</v>
      </c>
    </row>
    <row r="141" spans="17:46">
      <c r="Q141">
        <v>134</v>
      </c>
      <c r="R141" s="105">
        <f t="shared" si="80"/>
        <v>10</v>
      </c>
      <c r="S141" s="106">
        <f t="shared" si="81"/>
        <v>1.78666666666667</v>
      </c>
      <c r="T141" s="106">
        <f t="shared" si="82"/>
        <v>4</v>
      </c>
      <c r="U141" s="107">
        <f t="shared" si="83"/>
        <v>4.46666666666667</v>
      </c>
      <c r="V141" s="105">
        <f t="shared" si="84"/>
        <v>2</v>
      </c>
      <c r="W141" s="106">
        <f t="shared" si="85"/>
        <v>0.714285714285714</v>
      </c>
      <c r="X141" s="107">
        <f t="shared" si="86"/>
        <v>0.285714285714286</v>
      </c>
      <c r="Y141" s="105">
        <f t="shared" si="92"/>
        <v>0.380952380952381</v>
      </c>
      <c r="Z141" s="106">
        <f t="shared" si="93"/>
        <v>6.63428571428572</v>
      </c>
      <c r="AA141" s="106">
        <f t="shared" si="94"/>
        <v>4.46802023691596</v>
      </c>
      <c r="AB141" s="106">
        <v>0</v>
      </c>
      <c r="AC141" s="106">
        <f t="shared" si="95"/>
        <v>0.199632048374906</v>
      </c>
      <c r="AD141" s="107">
        <f t="shared" si="96"/>
        <v>0.199632048374906</v>
      </c>
      <c r="AE141" s="105">
        <f t="shared" si="97"/>
        <v>5.70031746031746</v>
      </c>
      <c r="AF141" s="106">
        <f t="shared" si="98"/>
        <v>4.46802023691596</v>
      </c>
      <c r="AG141" s="106">
        <f t="shared" si="87"/>
        <v>1.49724036281179</v>
      </c>
      <c r="AH141" s="106">
        <f t="shared" si="88"/>
        <v>0.666725808505116</v>
      </c>
      <c r="AI141" s="107">
        <f t="shared" si="99"/>
        <v>2.16396617131691</v>
      </c>
      <c r="AJ141" s="105">
        <f t="shared" si="100"/>
        <v>1.78666666666667</v>
      </c>
      <c r="AK141" s="106">
        <f t="shared" si="101"/>
        <v>3.44486263070585</v>
      </c>
      <c r="AL141" s="106">
        <f t="shared" si="102"/>
        <v>1.10773333333333</v>
      </c>
      <c r="AM141" s="106">
        <f t="shared" si="89"/>
        <v>0</v>
      </c>
      <c r="AN141" s="107">
        <f t="shared" si="103"/>
        <v>1.10773333333333</v>
      </c>
      <c r="AO141" s="105">
        <f t="shared" si="90"/>
        <v>0.998160241874528</v>
      </c>
      <c r="AP141" s="106">
        <f t="shared" si="91"/>
        <v>0.108</v>
      </c>
      <c r="AQ141" s="107">
        <f t="shared" si="104"/>
        <v>0.0132</v>
      </c>
      <c r="AR141" s="105">
        <f t="shared" si="105"/>
        <v>4.39105974652477</v>
      </c>
      <c r="AS141" s="106">
        <f t="shared" si="106"/>
        <v>17.8666666666667</v>
      </c>
      <c r="AT141" s="107">
        <f t="shared" si="107"/>
        <v>80.2717507394541</v>
      </c>
    </row>
    <row r="142" spans="17:46">
      <c r="Q142">
        <v>135</v>
      </c>
      <c r="R142" s="105">
        <f t="shared" si="80"/>
        <v>10</v>
      </c>
      <c r="S142" s="106">
        <f t="shared" si="81"/>
        <v>1.8</v>
      </c>
      <c r="T142" s="106">
        <f t="shared" si="82"/>
        <v>4</v>
      </c>
      <c r="U142" s="107">
        <f t="shared" si="83"/>
        <v>4.5</v>
      </c>
      <c r="V142" s="105">
        <f t="shared" si="84"/>
        <v>2</v>
      </c>
      <c r="W142" s="106">
        <f t="shared" si="85"/>
        <v>0.714285714285714</v>
      </c>
      <c r="X142" s="107">
        <f t="shared" si="86"/>
        <v>0.285714285714286</v>
      </c>
      <c r="Y142" s="105">
        <f t="shared" si="92"/>
        <v>0.380952380952381</v>
      </c>
      <c r="Z142" s="106">
        <f t="shared" si="93"/>
        <v>6.68095238095238</v>
      </c>
      <c r="AA142" s="106">
        <f t="shared" si="94"/>
        <v>4.50134354680682</v>
      </c>
      <c r="AB142" s="106">
        <v>0</v>
      </c>
      <c r="AC142" s="106">
        <f t="shared" si="95"/>
        <v>0.202620937263794</v>
      </c>
      <c r="AD142" s="107">
        <f t="shared" si="96"/>
        <v>0.202620937263794</v>
      </c>
      <c r="AE142" s="105">
        <f t="shared" si="97"/>
        <v>5.78571428571429</v>
      </c>
      <c r="AF142" s="106">
        <f t="shared" si="98"/>
        <v>4.50134354680682</v>
      </c>
      <c r="AG142" s="106">
        <f t="shared" si="87"/>
        <v>1.51965702947846</v>
      </c>
      <c r="AH142" s="106">
        <f t="shared" si="88"/>
        <v>0.671701374240228</v>
      </c>
      <c r="AI142" s="107">
        <f t="shared" si="99"/>
        <v>2.19135840371869</v>
      </c>
      <c r="AJ142" s="105">
        <f t="shared" si="100"/>
        <v>1.8</v>
      </c>
      <c r="AK142" s="106">
        <f t="shared" si="101"/>
        <v>3.46980340758533</v>
      </c>
      <c r="AL142" s="106">
        <f t="shared" si="102"/>
        <v>1.116</v>
      </c>
      <c r="AM142" s="106">
        <f t="shared" si="89"/>
        <v>0</v>
      </c>
      <c r="AN142" s="107">
        <f t="shared" si="103"/>
        <v>1.116</v>
      </c>
      <c r="AO142" s="105">
        <f t="shared" si="90"/>
        <v>1.01310468631897</v>
      </c>
      <c r="AP142" s="106">
        <f t="shared" si="91"/>
        <v>0.108</v>
      </c>
      <c r="AQ142" s="107">
        <f t="shared" si="104"/>
        <v>0.0132</v>
      </c>
      <c r="AR142" s="105">
        <f t="shared" si="105"/>
        <v>4.44166309003766</v>
      </c>
      <c r="AS142" s="106">
        <f t="shared" si="106"/>
        <v>18</v>
      </c>
      <c r="AT142" s="107">
        <f t="shared" si="107"/>
        <v>80.2079593111376</v>
      </c>
    </row>
    <row r="143" spans="17:46">
      <c r="Q143">
        <v>136</v>
      </c>
      <c r="R143" s="105">
        <f t="shared" si="80"/>
        <v>10</v>
      </c>
      <c r="S143" s="106">
        <f t="shared" si="81"/>
        <v>1.81333333333333</v>
      </c>
      <c r="T143" s="106">
        <f t="shared" si="82"/>
        <v>4</v>
      </c>
      <c r="U143" s="107">
        <f t="shared" si="83"/>
        <v>4.53333333333333</v>
      </c>
      <c r="V143" s="105">
        <f t="shared" si="84"/>
        <v>2</v>
      </c>
      <c r="W143" s="106">
        <f t="shared" si="85"/>
        <v>0.714285714285714</v>
      </c>
      <c r="X143" s="107">
        <f t="shared" si="86"/>
        <v>0.285714285714286</v>
      </c>
      <c r="Y143" s="105">
        <f t="shared" si="92"/>
        <v>0.380952380952381</v>
      </c>
      <c r="Z143" s="106">
        <f t="shared" si="93"/>
        <v>6.72761904761905</v>
      </c>
      <c r="AA143" s="106">
        <f t="shared" si="94"/>
        <v>4.53466700403575</v>
      </c>
      <c r="AB143" s="106">
        <v>0</v>
      </c>
      <c r="AC143" s="106">
        <f t="shared" si="95"/>
        <v>0.205632048374905</v>
      </c>
      <c r="AD143" s="107">
        <f t="shared" si="96"/>
        <v>0.205632048374905</v>
      </c>
      <c r="AE143" s="105">
        <f t="shared" si="97"/>
        <v>5.87174603174603</v>
      </c>
      <c r="AF143" s="106">
        <f t="shared" si="98"/>
        <v>4.53466700403575</v>
      </c>
      <c r="AG143" s="106">
        <f t="shared" si="87"/>
        <v>1.54224036281179</v>
      </c>
      <c r="AH143" s="106">
        <f t="shared" si="88"/>
        <v>0.676676939975341</v>
      </c>
      <c r="AI143" s="107">
        <f t="shared" si="99"/>
        <v>2.21891730278713</v>
      </c>
      <c r="AJ143" s="105">
        <f t="shared" si="100"/>
        <v>1.81333333333333</v>
      </c>
      <c r="AK143" s="106">
        <f t="shared" si="101"/>
        <v>3.49474423593378</v>
      </c>
      <c r="AL143" s="106">
        <f t="shared" si="102"/>
        <v>1.12426666666667</v>
      </c>
      <c r="AM143" s="106">
        <f t="shared" si="89"/>
        <v>0</v>
      </c>
      <c r="AN143" s="107">
        <f t="shared" si="103"/>
        <v>1.12426666666667</v>
      </c>
      <c r="AO143" s="105">
        <f t="shared" si="90"/>
        <v>1.02816024187453</v>
      </c>
      <c r="AP143" s="106">
        <f t="shared" si="91"/>
        <v>0.108</v>
      </c>
      <c r="AQ143" s="107">
        <f t="shared" si="104"/>
        <v>0.0132</v>
      </c>
      <c r="AR143" s="105">
        <f t="shared" si="105"/>
        <v>4.49254421132833</v>
      </c>
      <c r="AS143" s="106">
        <f t="shared" si="106"/>
        <v>18.1333333333333</v>
      </c>
      <c r="AT143" s="107">
        <f t="shared" si="107"/>
        <v>80.1442211359077</v>
      </c>
    </row>
    <row r="144" spans="17:46">
      <c r="Q144">
        <v>137</v>
      </c>
      <c r="R144" s="105">
        <f t="shared" si="80"/>
        <v>10</v>
      </c>
      <c r="S144" s="106">
        <f t="shared" si="81"/>
        <v>1.82666666666667</v>
      </c>
      <c r="T144" s="106">
        <f t="shared" si="82"/>
        <v>4</v>
      </c>
      <c r="U144" s="107">
        <f t="shared" si="83"/>
        <v>4.56666666666667</v>
      </c>
      <c r="V144" s="105">
        <f t="shared" si="84"/>
        <v>2</v>
      </c>
      <c r="W144" s="106">
        <f t="shared" si="85"/>
        <v>0.714285714285714</v>
      </c>
      <c r="X144" s="107">
        <f t="shared" si="86"/>
        <v>0.285714285714286</v>
      </c>
      <c r="Y144" s="105">
        <f t="shared" si="92"/>
        <v>0.380952380952381</v>
      </c>
      <c r="Z144" s="106">
        <f t="shared" si="93"/>
        <v>6.77428571428572</v>
      </c>
      <c r="AA144" s="106">
        <f t="shared" si="94"/>
        <v>4.56799060537824</v>
      </c>
      <c r="AB144" s="106">
        <v>0</v>
      </c>
      <c r="AC144" s="106">
        <f t="shared" si="95"/>
        <v>0.208665381708239</v>
      </c>
      <c r="AD144" s="107">
        <f t="shared" si="96"/>
        <v>0.208665381708239</v>
      </c>
      <c r="AE144" s="105">
        <f t="shared" si="97"/>
        <v>5.9584126984127</v>
      </c>
      <c r="AF144" s="106">
        <f t="shared" si="98"/>
        <v>4.56799060537824</v>
      </c>
      <c r="AG144" s="106">
        <f t="shared" si="87"/>
        <v>1.56499036281179</v>
      </c>
      <c r="AH144" s="106">
        <f t="shared" si="88"/>
        <v>0.681652505710454</v>
      </c>
      <c r="AI144" s="107">
        <f t="shared" si="99"/>
        <v>2.24664286852225</v>
      </c>
      <c r="AJ144" s="105">
        <f t="shared" si="100"/>
        <v>1.82666666666667</v>
      </c>
      <c r="AK144" s="106">
        <f t="shared" si="101"/>
        <v>3.51968511465705</v>
      </c>
      <c r="AL144" s="106">
        <f t="shared" si="102"/>
        <v>1.13253333333333</v>
      </c>
      <c r="AM144" s="106">
        <f t="shared" si="89"/>
        <v>0</v>
      </c>
      <c r="AN144" s="107">
        <f t="shared" si="103"/>
        <v>1.13253333333333</v>
      </c>
      <c r="AO144" s="105">
        <f t="shared" si="90"/>
        <v>1.04332690854119</v>
      </c>
      <c r="AP144" s="106">
        <f t="shared" si="91"/>
        <v>0.108</v>
      </c>
      <c r="AQ144" s="107">
        <f t="shared" si="104"/>
        <v>0.0132</v>
      </c>
      <c r="AR144" s="105">
        <f t="shared" si="105"/>
        <v>4.54370311039677</v>
      </c>
      <c r="AS144" s="106">
        <f t="shared" si="106"/>
        <v>18.2666666666667</v>
      </c>
      <c r="AT144" s="107">
        <f t="shared" si="107"/>
        <v>80.0805372521159</v>
      </c>
    </row>
    <row r="145" spans="17:46">
      <c r="Q145">
        <v>138</v>
      </c>
      <c r="R145" s="105">
        <f t="shared" si="80"/>
        <v>10</v>
      </c>
      <c r="S145" s="106">
        <f t="shared" si="81"/>
        <v>1.84</v>
      </c>
      <c r="T145" s="106">
        <f t="shared" si="82"/>
        <v>4</v>
      </c>
      <c r="U145" s="107">
        <f t="shared" si="83"/>
        <v>4.6</v>
      </c>
      <c r="V145" s="105">
        <f t="shared" si="84"/>
        <v>2</v>
      </c>
      <c r="W145" s="106">
        <f t="shared" si="85"/>
        <v>0.714285714285714</v>
      </c>
      <c r="X145" s="107">
        <f t="shared" si="86"/>
        <v>0.285714285714286</v>
      </c>
      <c r="Y145" s="105">
        <f t="shared" si="92"/>
        <v>0.380952380952381</v>
      </c>
      <c r="Z145" s="106">
        <f t="shared" si="93"/>
        <v>6.82095238095238</v>
      </c>
      <c r="AA145" s="106">
        <f t="shared" si="94"/>
        <v>4.60131434770321</v>
      </c>
      <c r="AB145" s="106">
        <v>0</v>
      </c>
      <c r="AC145" s="106">
        <f t="shared" si="95"/>
        <v>0.211720937263794</v>
      </c>
      <c r="AD145" s="107">
        <f t="shared" si="96"/>
        <v>0.211720937263794</v>
      </c>
      <c r="AE145" s="105">
        <f t="shared" si="97"/>
        <v>6.04571428571429</v>
      </c>
      <c r="AF145" s="106">
        <f t="shared" si="98"/>
        <v>4.60131434770321</v>
      </c>
      <c r="AG145" s="106">
        <f t="shared" si="87"/>
        <v>1.58790702947846</v>
      </c>
      <c r="AH145" s="106">
        <f t="shared" si="88"/>
        <v>0.686628071445567</v>
      </c>
      <c r="AI145" s="107">
        <f t="shared" si="99"/>
        <v>2.27453510092403</v>
      </c>
      <c r="AJ145" s="105">
        <f t="shared" si="100"/>
        <v>1.84</v>
      </c>
      <c r="AK145" s="106">
        <f t="shared" si="101"/>
        <v>3.54462604269179</v>
      </c>
      <c r="AL145" s="106">
        <f t="shared" si="102"/>
        <v>1.1408</v>
      </c>
      <c r="AM145" s="106">
        <f t="shared" si="89"/>
        <v>0</v>
      </c>
      <c r="AN145" s="107">
        <f t="shared" si="103"/>
        <v>1.1408</v>
      </c>
      <c r="AO145" s="105">
        <f t="shared" si="90"/>
        <v>1.05860468631897</v>
      </c>
      <c r="AP145" s="106">
        <f t="shared" si="91"/>
        <v>0.108</v>
      </c>
      <c r="AQ145" s="107">
        <f t="shared" si="104"/>
        <v>0.0132</v>
      </c>
      <c r="AR145" s="105">
        <f t="shared" si="105"/>
        <v>4.595139787243</v>
      </c>
      <c r="AS145" s="106">
        <f t="shared" si="106"/>
        <v>18.4</v>
      </c>
      <c r="AT145" s="107">
        <f t="shared" si="107"/>
        <v>80.0169086608804</v>
      </c>
    </row>
    <row r="146" spans="17:46">
      <c r="Q146">
        <v>139</v>
      </c>
      <c r="R146" s="105">
        <f t="shared" si="80"/>
        <v>10</v>
      </c>
      <c r="S146" s="106">
        <f t="shared" si="81"/>
        <v>1.85333333333333</v>
      </c>
      <c r="T146" s="106">
        <f t="shared" si="82"/>
        <v>4</v>
      </c>
      <c r="U146" s="107">
        <f t="shared" si="83"/>
        <v>4.63333333333333</v>
      </c>
      <c r="V146" s="105">
        <f t="shared" si="84"/>
        <v>2</v>
      </c>
      <c r="W146" s="106">
        <f t="shared" si="85"/>
        <v>0.714285714285714</v>
      </c>
      <c r="X146" s="107">
        <f t="shared" si="86"/>
        <v>0.285714285714286</v>
      </c>
      <c r="Y146" s="105">
        <f t="shared" si="92"/>
        <v>0.380952380952381</v>
      </c>
      <c r="Z146" s="106">
        <f t="shared" si="93"/>
        <v>6.86761904761905</v>
      </c>
      <c r="AA146" s="106">
        <f t="shared" si="94"/>
        <v>4.6346382279696</v>
      </c>
      <c r="AB146" s="106">
        <v>0</v>
      </c>
      <c r="AC146" s="106">
        <f t="shared" si="95"/>
        <v>0.214798715041572</v>
      </c>
      <c r="AD146" s="107">
        <f t="shared" si="96"/>
        <v>0.214798715041572</v>
      </c>
      <c r="AE146" s="105">
        <f t="shared" si="97"/>
        <v>6.1336507936508</v>
      </c>
      <c r="AF146" s="106">
        <f t="shared" si="98"/>
        <v>4.6346382279696</v>
      </c>
      <c r="AG146" s="106">
        <f t="shared" si="87"/>
        <v>1.61099036281179</v>
      </c>
      <c r="AH146" s="106">
        <f t="shared" si="88"/>
        <v>0.69160363718068</v>
      </c>
      <c r="AI146" s="107">
        <f t="shared" si="99"/>
        <v>2.30259399999247</v>
      </c>
      <c r="AJ146" s="105">
        <f t="shared" si="100"/>
        <v>1.85333333333333</v>
      </c>
      <c r="AK146" s="106">
        <f t="shared" si="101"/>
        <v>3.56956701900438</v>
      </c>
      <c r="AL146" s="106">
        <f t="shared" si="102"/>
        <v>1.14906666666667</v>
      </c>
      <c r="AM146" s="106">
        <f t="shared" si="89"/>
        <v>0</v>
      </c>
      <c r="AN146" s="107">
        <f t="shared" si="103"/>
        <v>1.14906666666667</v>
      </c>
      <c r="AO146" s="105">
        <f t="shared" si="90"/>
        <v>1.07399357520786</v>
      </c>
      <c r="AP146" s="106">
        <f t="shared" si="91"/>
        <v>0.108</v>
      </c>
      <c r="AQ146" s="107">
        <f t="shared" si="104"/>
        <v>0.0132</v>
      </c>
      <c r="AR146" s="105">
        <f t="shared" si="105"/>
        <v>4.646854241867</v>
      </c>
      <c r="AS146" s="106">
        <f t="shared" si="106"/>
        <v>18.5333333333333</v>
      </c>
      <c r="AT146" s="107">
        <f t="shared" si="107"/>
        <v>79.9533363274484</v>
      </c>
    </row>
    <row r="147" spans="17:46">
      <c r="Q147">
        <v>140</v>
      </c>
      <c r="R147" s="105">
        <f t="shared" si="80"/>
        <v>10</v>
      </c>
      <c r="S147" s="106">
        <f t="shared" si="81"/>
        <v>1.86666666666667</v>
      </c>
      <c r="T147" s="106">
        <f t="shared" si="82"/>
        <v>4</v>
      </c>
      <c r="U147" s="107">
        <f t="shared" si="83"/>
        <v>4.66666666666667</v>
      </c>
      <c r="V147" s="105">
        <f t="shared" si="84"/>
        <v>2</v>
      </c>
      <c r="W147" s="106">
        <f t="shared" si="85"/>
        <v>0.714285714285714</v>
      </c>
      <c r="X147" s="107">
        <f t="shared" si="86"/>
        <v>0.285714285714286</v>
      </c>
      <c r="Y147" s="105">
        <f t="shared" si="92"/>
        <v>0.380952380952381</v>
      </c>
      <c r="Z147" s="106">
        <f t="shared" si="93"/>
        <v>6.91428571428571</v>
      </c>
      <c r="AA147" s="106">
        <f t="shared" si="94"/>
        <v>4.66796224322318</v>
      </c>
      <c r="AB147" s="106">
        <v>0</v>
      </c>
      <c r="AC147" s="106">
        <f t="shared" si="95"/>
        <v>0.217898715041572</v>
      </c>
      <c r="AD147" s="107">
        <f t="shared" si="96"/>
        <v>0.217898715041572</v>
      </c>
      <c r="AE147" s="105">
        <f t="shared" si="97"/>
        <v>6.22222222222222</v>
      </c>
      <c r="AF147" s="106">
        <f t="shared" si="98"/>
        <v>4.66796224322318</v>
      </c>
      <c r="AG147" s="106">
        <f t="shared" si="87"/>
        <v>1.63424036281179</v>
      </c>
      <c r="AH147" s="106">
        <f t="shared" si="88"/>
        <v>0.696579202915792</v>
      </c>
      <c r="AI147" s="107">
        <f t="shared" si="99"/>
        <v>2.33081956572758</v>
      </c>
      <c r="AJ147" s="105">
        <f t="shared" si="100"/>
        <v>1.86666666666667</v>
      </c>
      <c r="AK147" s="106">
        <f t="shared" si="101"/>
        <v>3.59450804258986</v>
      </c>
      <c r="AL147" s="106">
        <f t="shared" si="102"/>
        <v>1.15733333333333</v>
      </c>
      <c r="AM147" s="106">
        <f t="shared" si="89"/>
        <v>0</v>
      </c>
      <c r="AN147" s="107">
        <f t="shared" si="103"/>
        <v>1.15733333333333</v>
      </c>
      <c r="AO147" s="105">
        <f t="shared" si="90"/>
        <v>1.08949357520786</v>
      </c>
      <c r="AP147" s="106">
        <f t="shared" si="91"/>
        <v>0.108</v>
      </c>
      <c r="AQ147" s="107">
        <f t="shared" si="104"/>
        <v>0.0132</v>
      </c>
      <c r="AR147" s="105">
        <f t="shared" si="105"/>
        <v>4.69884647426878</v>
      </c>
      <c r="AS147" s="106">
        <f t="shared" si="106"/>
        <v>18.6666666666667</v>
      </c>
      <c r="AT147" s="107">
        <f t="shared" si="107"/>
        <v>79.8898211824991</v>
      </c>
    </row>
    <row r="148" spans="17:46">
      <c r="Q148">
        <v>141</v>
      </c>
      <c r="R148" s="105">
        <f t="shared" si="80"/>
        <v>10</v>
      </c>
      <c r="S148" s="106">
        <f t="shared" si="81"/>
        <v>1.88</v>
      </c>
      <c r="T148" s="106">
        <f t="shared" si="82"/>
        <v>4</v>
      </c>
      <c r="U148" s="107">
        <f t="shared" si="83"/>
        <v>4.7</v>
      </c>
      <c r="V148" s="105">
        <f t="shared" si="84"/>
        <v>2</v>
      </c>
      <c r="W148" s="106">
        <f t="shared" si="85"/>
        <v>0.714285714285714</v>
      </c>
      <c r="X148" s="107">
        <f t="shared" si="86"/>
        <v>0.285714285714286</v>
      </c>
      <c r="Y148" s="105">
        <f t="shared" si="92"/>
        <v>0.380952380952381</v>
      </c>
      <c r="Z148" s="106">
        <f t="shared" si="93"/>
        <v>6.96095238095238</v>
      </c>
      <c r="AA148" s="106">
        <f t="shared" si="94"/>
        <v>4.70128639059348</v>
      </c>
      <c r="AB148" s="106">
        <v>0</v>
      </c>
      <c r="AC148" s="106">
        <f t="shared" si="95"/>
        <v>0.221020937263794</v>
      </c>
      <c r="AD148" s="107">
        <f t="shared" si="96"/>
        <v>0.221020937263794</v>
      </c>
      <c r="AE148" s="105">
        <f t="shared" si="97"/>
        <v>6.31142857142857</v>
      </c>
      <c r="AF148" s="106">
        <f t="shared" si="98"/>
        <v>4.70128639059348</v>
      </c>
      <c r="AG148" s="106">
        <f t="shared" si="87"/>
        <v>1.65765702947846</v>
      </c>
      <c r="AH148" s="106">
        <f t="shared" si="88"/>
        <v>0.701554768650905</v>
      </c>
      <c r="AI148" s="107">
        <f t="shared" si="99"/>
        <v>2.35921179812936</v>
      </c>
      <c r="AJ148" s="105">
        <f t="shared" si="100"/>
        <v>1.88</v>
      </c>
      <c r="AK148" s="106">
        <f t="shared" si="101"/>
        <v>3.61944911247098</v>
      </c>
      <c r="AL148" s="106">
        <f t="shared" si="102"/>
        <v>1.1656</v>
      </c>
      <c r="AM148" s="106">
        <f t="shared" si="89"/>
        <v>0</v>
      </c>
      <c r="AN148" s="107">
        <f t="shared" si="103"/>
        <v>1.1656</v>
      </c>
      <c r="AO148" s="105">
        <f t="shared" si="90"/>
        <v>1.10510468631897</v>
      </c>
      <c r="AP148" s="106">
        <f t="shared" si="91"/>
        <v>0.108</v>
      </c>
      <c r="AQ148" s="107">
        <f t="shared" si="104"/>
        <v>0.0132</v>
      </c>
      <c r="AR148" s="105">
        <f t="shared" si="105"/>
        <v>4.75111648444834</v>
      </c>
      <c r="AS148" s="106">
        <f t="shared" si="106"/>
        <v>18.8</v>
      </c>
      <c r="AT148" s="107">
        <f t="shared" si="107"/>
        <v>79.8263641233923</v>
      </c>
    </row>
    <row r="149" spans="17:46">
      <c r="Q149">
        <v>142</v>
      </c>
      <c r="R149" s="105">
        <f t="shared" si="80"/>
        <v>10</v>
      </c>
      <c r="S149" s="106">
        <f t="shared" si="81"/>
        <v>1.89333333333333</v>
      </c>
      <c r="T149" s="106">
        <f t="shared" si="82"/>
        <v>4</v>
      </c>
      <c r="U149" s="107">
        <f t="shared" si="83"/>
        <v>4.73333333333333</v>
      </c>
      <c r="V149" s="105">
        <f t="shared" si="84"/>
        <v>2</v>
      </c>
      <c r="W149" s="106">
        <f t="shared" si="85"/>
        <v>0.714285714285714</v>
      </c>
      <c r="X149" s="107">
        <f t="shared" si="86"/>
        <v>0.285714285714286</v>
      </c>
      <c r="Y149" s="105">
        <f t="shared" si="92"/>
        <v>0.380952380952381</v>
      </c>
      <c r="Z149" s="106">
        <f t="shared" si="93"/>
        <v>7.00761904761905</v>
      </c>
      <c r="AA149" s="106">
        <f t="shared" si="94"/>
        <v>4.73461066729081</v>
      </c>
      <c r="AB149" s="106">
        <v>0</v>
      </c>
      <c r="AC149" s="106">
        <f t="shared" si="95"/>
        <v>0.224165381708239</v>
      </c>
      <c r="AD149" s="107">
        <f t="shared" si="96"/>
        <v>0.224165381708239</v>
      </c>
      <c r="AE149" s="105">
        <f t="shared" si="97"/>
        <v>6.40126984126984</v>
      </c>
      <c r="AF149" s="106">
        <f t="shared" si="98"/>
        <v>4.73461066729081</v>
      </c>
      <c r="AG149" s="106">
        <f t="shared" si="87"/>
        <v>1.68124036281179</v>
      </c>
      <c r="AH149" s="106">
        <f t="shared" si="88"/>
        <v>0.706530334386018</v>
      </c>
      <c r="AI149" s="107">
        <f t="shared" si="99"/>
        <v>2.38777069719781</v>
      </c>
      <c r="AJ149" s="105">
        <f t="shared" si="100"/>
        <v>1.89333333333333</v>
      </c>
      <c r="AK149" s="106">
        <f t="shared" si="101"/>
        <v>3.64439022769725</v>
      </c>
      <c r="AL149" s="106">
        <f t="shared" si="102"/>
        <v>1.17386666666667</v>
      </c>
      <c r="AM149" s="106">
        <f t="shared" si="89"/>
        <v>0</v>
      </c>
      <c r="AN149" s="107">
        <f t="shared" si="103"/>
        <v>1.17386666666667</v>
      </c>
      <c r="AO149" s="105">
        <f t="shared" si="90"/>
        <v>1.1208269085412</v>
      </c>
      <c r="AP149" s="106">
        <f t="shared" si="91"/>
        <v>0.108</v>
      </c>
      <c r="AQ149" s="107">
        <f t="shared" si="104"/>
        <v>0.0132</v>
      </c>
      <c r="AR149" s="105">
        <f t="shared" si="105"/>
        <v>4.80366427240567</v>
      </c>
      <c r="AS149" s="106">
        <f t="shared" si="106"/>
        <v>18.9333333333333</v>
      </c>
      <c r="AT149" s="107">
        <f t="shared" si="107"/>
        <v>79.7629660153638</v>
      </c>
    </row>
    <row r="150" spans="17:46">
      <c r="Q150">
        <v>143</v>
      </c>
      <c r="R150" s="105">
        <f t="shared" si="80"/>
        <v>10</v>
      </c>
      <c r="S150" s="106">
        <f t="shared" si="81"/>
        <v>1.90666666666667</v>
      </c>
      <c r="T150" s="106">
        <f t="shared" si="82"/>
        <v>4</v>
      </c>
      <c r="U150" s="107">
        <f t="shared" si="83"/>
        <v>4.76666666666667</v>
      </c>
      <c r="V150" s="105">
        <f t="shared" si="84"/>
        <v>2</v>
      </c>
      <c r="W150" s="106">
        <f t="shared" si="85"/>
        <v>0.714285714285714</v>
      </c>
      <c r="X150" s="107">
        <f t="shared" si="86"/>
        <v>0.285714285714286</v>
      </c>
      <c r="Y150" s="105">
        <f t="shared" si="92"/>
        <v>0.380952380952381</v>
      </c>
      <c r="Z150" s="106">
        <f t="shared" si="93"/>
        <v>7.05428571428572</v>
      </c>
      <c r="AA150" s="106">
        <f t="shared" si="94"/>
        <v>4.76793507060347</v>
      </c>
      <c r="AB150" s="106">
        <v>0</v>
      </c>
      <c r="AC150" s="106">
        <f t="shared" si="95"/>
        <v>0.227332048374906</v>
      </c>
      <c r="AD150" s="107">
        <f t="shared" si="96"/>
        <v>0.227332048374906</v>
      </c>
      <c r="AE150" s="105">
        <f t="shared" si="97"/>
        <v>6.49174603174603</v>
      </c>
      <c r="AF150" s="106">
        <f t="shared" si="98"/>
        <v>4.76793507060347</v>
      </c>
      <c r="AG150" s="106">
        <f t="shared" si="87"/>
        <v>1.70499036281179</v>
      </c>
      <c r="AH150" s="106">
        <f t="shared" si="88"/>
        <v>0.711505900121131</v>
      </c>
      <c r="AI150" s="107">
        <f t="shared" si="99"/>
        <v>2.41649626293292</v>
      </c>
      <c r="AJ150" s="105">
        <f t="shared" si="100"/>
        <v>1.90666666666667</v>
      </c>
      <c r="AK150" s="106">
        <f t="shared" si="101"/>
        <v>3.66933138734401</v>
      </c>
      <c r="AL150" s="106">
        <f t="shared" si="102"/>
        <v>1.18213333333333</v>
      </c>
      <c r="AM150" s="106">
        <f t="shared" si="89"/>
        <v>0</v>
      </c>
      <c r="AN150" s="107">
        <f t="shared" si="103"/>
        <v>1.18213333333333</v>
      </c>
      <c r="AO150" s="105">
        <f t="shared" si="90"/>
        <v>1.13666024187453</v>
      </c>
      <c r="AP150" s="106">
        <f t="shared" si="91"/>
        <v>0.108</v>
      </c>
      <c r="AQ150" s="107">
        <f t="shared" si="104"/>
        <v>0.0132</v>
      </c>
      <c r="AR150" s="105">
        <f t="shared" si="105"/>
        <v>4.85648983814078</v>
      </c>
      <c r="AS150" s="106">
        <f t="shared" si="106"/>
        <v>19.0666666666667</v>
      </c>
      <c r="AT150" s="107">
        <f t="shared" si="107"/>
        <v>79.6996276926715</v>
      </c>
    </row>
    <row r="151" spans="17:46">
      <c r="Q151">
        <v>144</v>
      </c>
      <c r="R151" s="105">
        <f t="shared" si="80"/>
        <v>10</v>
      </c>
      <c r="S151" s="106">
        <f t="shared" si="81"/>
        <v>1.92</v>
      </c>
      <c r="T151" s="106">
        <f t="shared" si="82"/>
        <v>4</v>
      </c>
      <c r="U151" s="107">
        <f t="shared" si="83"/>
        <v>4.8</v>
      </c>
      <c r="V151" s="105">
        <f t="shared" si="84"/>
        <v>2</v>
      </c>
      <c r="W151" s="106">
        <f t="shared" si="85"/>
        <v>0.714285714285714</v>
      </c>
      <c r="X151" s="107">
        <f t="shared" si="86"/>
        <v>0.285714285714286</v>
      </c>
      <c r="Y151" s="105">
        <f t="shared" si="92"/>
        <v>0.380952380952381</v>
      </c>
      <c r="Z151" s="106">
        <f t="shared" si="93"/>
        <v>7.10095238095238</v>
      </c>
      <c r="AA151" s="106">
        <f t="shared" si="94"/>
        <v>4.80125959789506</v>
      </c>
      <c r="AB151" s="106">
        <v>0</v>
      </c>
      <c r="AC151" s="106">
        <f t="shared" si="95"/>
        <v>0.230520937263794</v>
      </c>
      <c r="AD151" s="107">
        <f t="shared" si="96"/>
        <v>0.230520937263794</v>
      </c>
      <c r="AE151" s="105">
        <f t="shared" si="97"/>
        <v>6.58285714285715</v>
      </c>
      <c r="AF151" s="106">
        <f t="shared" si="98"/>
        <v>4.80125959789506</v>
      </c>
      <c r="AG151" s="106">
        <f t="shared" si="87"/>
        <v>1.72890702947846</v>
      </c>
      <c r="AH151" s="106">
        <f t="shared" si="88"/>
        <v>0.716481465856244</v>
      </c>
      <c r="AI151" s="107">
        <f t="shared" si="99"/>
        <v>2.4453884953347</v>
      </c>
      <c r="AJ151" s="105">
        <f t="shared" si="100"/>
        <v>1.92</v>
      </c>
      <c r="AK151" s="106">
        <f t="shared" si="101"/>
        <v>3.69427259051157</v>
      </c>
      <c r="AL151" s="106">
        <f t="shared" si="102"/>
        <v>1.1904</v>
      </c>
      <c r="AM151" s="106">
        <f t="shared" si="89"/>
        <v>0</v>
      </c>
      <c r="AN151" s="107">
        <f t="shared" si="103"/>
        <v>1.1904</v>
      </c>
      <c r="AO151" s="105">
        <f t="shared" si="90"/>
        <v>1.15260468631897</v>
      </c>
      <c r="AP151" s="106">
        <f t="shared" si="91"/>
        <v>0.108</v>
      </c>
      <c r="AQ151" s="107">
        <f t="shared" si="104"/>
        <v>0.0132</v>
      </c>
      <c r="AR151" s="105">
        <f t="shared" si="105"/>
        <v>4.90959318165367</v>
      </c>
      <c r="AS151" s="106">
        <f t="shared" si="106"/>
        <v>19.2</v>
      </c>
      <c r="AT151" s="107">
        <f t="shared" si="107"/>
        <v>79.636349959693</v>
      </c>
    </row>
    <row r="152" spans="17:46">
      <c r="Q152">
        <v>145</v>
      </c>
      <c r="R152" s="105">
        <f t="shared" si="80"/>
        <v>10</v>
      </c>
      <c r="S152" s="106">
        <f t="shared" si="81"/>
        <v>1.93333333333333</v>
      </c>
      <c r="T152" s="106">
        <f t="shared" si="82"/>
        <v>4</v>
      </c>
      <c r="U152" s="107">
        <f t="shared" si="83"/>
        <v>4.83333333333333</v>
      </c>
      <c r="V152" s="105">
        <f t="shared" si="84"/>
        <v>2</v>
      </c>
      <c r="W152" s="106">
        <f t="shared" si="85"/>
        <v>0.714285714285714</v>
      </c>
      <c r="X152" s="107">
        <f t="shared" si="86"/>
        <v>0.285714285714286</v>
      </c>
      <c r="Y152" s="105">
        <f t="shared" si="92"/>
        <v>0.380952380952381</v>
      </c>
      <c r="Z152" s="106">
        <f t="shared" si="93"/>
        <v>7.14761904761905</v>
      </c>
      <c r="AA152" s="106">
        <f t="shared" si="94"/>
        <v>4.83458424660183</v>
      </c>
      <c r="AB152" s="106">
        <v>0</v>
      </c>
      <c r="AC152" s="106">
        <f t="shared" si="95"/>
        <v>0.233732048374906</v>
      </c>
      <c r="AD152" s="107">
        <f t="shared" si="96"/>
        <v>0.233732048374906</v>
      </c>
      <c r="AE152" s="105">
        <f t="shared" si="97"/>
        <v>6.67460317460317</v>
      </c>
      <c r="AF152" s="106">
        <f t="shared" si="98"/>
        <v>4.83458424660183</v>
      </c>
      <c r="AG152" s="106">
        <f t="shared" si="87"/>
        <v>1.75299036281179</v>
      </c>
      <c r="AH152" s="106">
        <f t="shared" si="88"/>
        <v>0.721457031591356</v>
      </c>
      <c r="AI152" s="107">
        <f t="shared" si="99"/>
        <v>2.47444739440315</v>
      </c>
      <c r="AJ152" s="105">
        <f t="shared" si="100"/>
        <v>1.93333333333333</v>
      </c>
      <c r="AK152" s="106">
        <f t="shared" si="101"/>
        <v>3.71921383632437</v>
      </c>
      <c r="AL152" s="106">
        <f t="shared" si="102"/>
        <v>1.19866666666667</v>
      </c>
      <c r="AM152" s="106">
        <f t="shared" si="89"/>
        <v>0</v>
      </c>
      <c r="AN152" s="107">
        <f t="shared" si="103"/>
        <v>1.19866666666667</v>
      </c>
      <c r="AO152" s="105">
        <f t="shared" si="90"/>
        <v>1.16866024187453</v>
      </c>
      <c r="AP152" s="106">
        <f t="shared" si="91"/>
        <v>0.108</v>
      </c>
      <c r="AQ152" s="107">
        <f t="shared" si="104"/>
        <v>0.0132</v>
      </c>
      <c r="AR152" s="105">
        <f t="shared" si="105"/>
        <v>4.96297430294434</v>
      </c>
      <c r="AS152" s="106">
        <f t="shared" si="106"/>
        <v>19.3333333333333</v>
      </c>
      <c r="AT152" s="107">
        <f t="shared" si="107"/>
        <v>79.5731335919786</v>
      </c>
    </row>
    <row r="153" spans="17:46">
      <c r="Q153">
        <v>146</v>
      </c>
      <c r="R153" s="105">
        <f t="shared" si="80"/>
        <v>10</v>
      </c>
      <c r="S153" s="106">
        <f t="shared" si="81"/>
        <v>1.94666666666667</v>
      </c>
      <c r="T153" s="106">
        <f t="shared" si="82"/>
        <v>4</v>
      </c>
      <c r="U153" s="107">
        <f t="shared" si="83"/>
        <v>4.86666666666667</v>
      </c>
      <c r="V153" s="105">
        <f t="shared" si="84"/>
        <v>2</v>
      </c>
      <c r="W153" s="106">
        <f t="shared" si="85"/>
        <v>0.714285714285714</v>
      </c>
      <c r="X153" s="107">
        <f t="shared" si="86"/>
        <v>0.285714285714286</v>
      </c>
      <c r="Y153" s="105">
        <f t="shared" si="92"/>
        <v>0.380952380952381</v>
      </c>
      <c r="Z153" s="106">
        <f t="shared" si="93"/>
        <v>7.19428571428572</v>
      </c>
      <c r="AA153" s="106">
        <f t="shared" si="94"/>
        <v>4.86790901423023</v>
      </c>
      <c r="AB153" s="106">
        <v>0</v>
      </c>
      <c r="AC153" s="106">
        <f t="shared" si="95"/>
        <v>0.236965381708239</v>
      </c>
      <c r="AD153" s="107">
        <f t="shared" si="96"/>
        <v>0.236965381708239</v>
      </c>
      <c r="AE153" s="105">
        <f t="shared" si="97"/>
        <v>6.76698412698413</v>
      </c>
      <c r="AF153" s="106">
        <f t="shared" si="98"/>
        <v>4.86790901423023</v>
      </c>
      <c r="AG153" s="106">
        <f t="shared" si="87"/>
        <v>1.77724036281179</v>
      </c>
      <c r="AH153" s="106">
        <f t="shared" si="88"/>
        <v>0.726432597326469</v>
      </c>
      <c r="AI153" s="107">
        <f t="shared" si="99"/>
        <v>2.50367296013826</v>
      </c>
      <c r="AJ153" s="105">
        <f t="shared" si="100"/>
        <v>1.94666666666667</v>
      </c>
      <c r="AK153" s="106">
        <f t="shared" si="101"/>
        <v>3.74415512393019</v>
      </c>
      <c r="AL153" s="106">
        <f t="shared" si="102"/>
        <v>1.20693333333333</v>
      </c>
      <c r="AM153" s="106">
        <f t="shared" si="89"/>
        <v>0</v>
      </c>
      <c r="AN153" s="107">
        <f t="shared" si="103"/>
        <v>1.20693333333333</v>
      </c>
      <c r="AO153" s="105">
        <f t="shared" si="90"/>
        <v>1.18482690854119</v>
      </c>
      <c r="AP153" s="106">
        <f t="shared" si="91"/>
        <v>0.108</v>
      </c>
      <c r="AQ153" s="107">
        <f t="shared" si="104"/>
        <v>0.0132</v>
      </c>
      <c r="AR153" s="105">
        <f t="shared" si="105"/>
        <v>5.01663320201279</v>
      </c>
      <c r="AS153" s="106">
        <f t="shared" si="106"/>
        <v>19.4666666666667</v>
      </c>
      <c r="AT153" s="107">
        <f t="shared" si="107"/>
        <v>79.5099793372609</v>
      </c>
    </row>
    <row r="154" spans="17:46">
      <c r="Q154">
        <v>147</v>
      </c>
      <c r="R154" s="105">
        <f t="shared" si="80"/>
        <v>10</v>
      </c>
      <c r="S154" s="106">
        <f t="shared" si="81"/>
        <v>1.96</v>
      </c>
      <c r="T154" s="106">
        <f t="shared" si="82"/>
        <v>4</v>
      </c>
      <c r="U154" s="107">
        <f t="shared" si="83"/>
        <v>4.9</v>
      </c>
      <c r="V154" s="105">
        <f t="shared" si="84"/>
        <v>2</v>
      </c>
      <c r="W154" s="106">
        <f t="shared" si="85"/>
        <v>0.714285714285714</v>
      </c>
      <c r="X154" s="107">
        <f t="shared" si="86"/>
        <v>0.285714285714286</v>
      </c>
      <c r="Y154" s="105">
        <f t="shared" si="92"/>
        <v>0.380952380952381</v>
      </c>
      <c r="Z154" s="106">
        <f t="shared" si="93"/>
        <v>7.24095238095238</v>
      </c>
      <c r="AA154" s="106">
        <f t="shared" si="94"/>
        <v>4.90123389835452</v>
      </c>
      <c r="AB154" s="106">
        <v>0</v>
      </c>
      <c r="AC154" s="106">
        <f t="shared" si="95"/>
        <v>0.240220937263794</v>
      </c>
      <c r="AD154" s="107">
        <f t="shared" si="96"/>
        <v>0.240220937263794</v>
      </c>
      <c r="AE154" s="105">
        <f t="shared" si="97"/>
        <v>6.86</v>
      </c>
      <c r="AF154" s="106">
        <f t="shared" si="98"/>
        <v>4.90123389835452</v>
      </c>
      <c r="AG154" s="106">
        <f t="shared" si="87"/>
        <v>1.80165702947846</v>
      </c>
      <c r="AH154" s="106">
        <f t="shared" si="88"/>
        <v>0.731408163061582</v>
      </c>
      <c r="AI154" s="107">
        <f t="shared" si="99"/>
        <v>2.53306519254004</v>
      </c>
      <c r="AJ154" s="105">
        <f t="shared" si="100"/>
        <v>1.96</v>
      </c>
      <c r="AK154" s="106">
        <f t="shared" si="101"/>
        <v>3.76909645249935</v>
      </c>
      <c r="AL154" s="106">
        <f t="shared" si="102"/>
        <v>1.2152</v>
      </c>
      <c r="AM154" s="106">
        <f t="shared" si="89"/>
        <v>0</v>
      </c>
      <c r="AN154" s="107">
        <f t="shared" si="103"/>
        <v>1.2152</v>
      </c>
      <c r="AO154" s="105">
        <f t="shared" si="90"/>
        <v>1.20110468631897</v>
      </c>
      <c r="AP154" s="106">
        <f t="shared" si="91"/>
        <v>0.108</v>
      </c>
      <c r="AQ154" s="107">
        <f t="shared" si="104"/>
        <v>0.0132</v>
      </c>
      <c r="AR154" s="105">
        <f t="shared" si="105"/>
        <v>5.07056987885901</v>
      </c>
      <c r="AS154" s="106">
        <f t="shared" si="106"/>
        <v>19.6</v>
      </c>
      <c r="AT154" s="107">
        <f t="shared" si="107"/>
        <v>79.4468879164233</v>
      </c>
    </row>
    <row r="155" spans="17:46">
      <c r="Q155">
        <v>148</v>
      </c>
      <c r="R155" s="105">
        <f t="shared" si="80"/>
        <v>10</v>
      </c>
      <c r="S155" s="106">
        <f t="shared" si="81"/>
        <v>1.97333333333333</v>
      </c>
      <c r="T155" s="106">
        <f t="shared" si="82"/>
        <v>4</v>
      </c>
      <c r="U155" s="107">
        <f t="shared" si="83"/>
        <v>4.93333333333333</v>
      </c>
      <c r="V155" s="105">
        <f t="shared" si="84"/>
        <v>2</v>
      </c>
      <c r="W155" s="106">
        <f t="shared" si="85"/>
        <v>0.714285714285714</v>
      </c>
      <c r="X155" s="107">
        <f t="shared" si="86"/>
        <v>0.285714285714286</v>
      </c>
      <c r="Y155" s="105">
        <f t="shared" si="92"/>
        <v>0.380952380952381</v>
      </c>
      <c r="Z155" s="106">
        <f t="shared" si="93"/>
        <v>7.28761904761905</v>
      </c>
      <c r="AA155" s="106">
        <f t="shared" si="94"/>
        <v>4.93455889661449</v>
      </c>
      <c r="AB155" s="106">
        <v>0</v>
      </c>
      <c r="AC155" s="106">
        <f t="shared" si="95"/>
        <v>0.243498715041572</v>
      </c>
      <c r="AD155" s="107">
        <f t="shared" si="96"/>
        <v>0.243498715041572</v>
      </c>
      <c r="AE155" s="105">
        <f t="shared" si="97"/>
        <v>6.95365079365079</v>
      </c>
      <c r="AF155" s="106">
        <f t="shared" si="98"/>
        <v>4.93455889661449</v>
      </c>
      <c r="AG155" s="106">
        <f t="shared" si="87"/>
        <v>1.82624036281179</v>
      </c>
      <c r="AH155" s="106">
        <f t="shared" si="88"/>
        <v>0.736383728796695</v>
      </c>
      <c r="AI155" s="107">
        <f t="shared" si="99"/>
        <v>2.56262409160849</v>
      </c>
      <c r="AJ155" s="105">
        <f t="shared" si="100"/>
        <v>1.97333333333333</v>
      </c>
      <c r="AK155" s="106">
        <f t="shared" si="101"/>
        <v>3.79403782122399</v>
      </c>
      <c r="AL155" s="106">
        <f t="shared" si="102"/>
        <v>1.22346666666667</v>
      </c>
      <c r="AM155" s="106">
        <f t="shared" si="89"/>
        <v>0</v>
      </c>
      <c r="AN155" s="107">
        <f t="shared" si="103"/>
        <v>1.22346666666667</v>
      </c>
      <c r="AO155" s="105">
        <f t="shared" si="90"/>
        <v>1.21749357520786</v>
      </c>
      <c r="AP155" s="106">
        <f t="shared" si="91"/>
        <v>0.108</v>
      </c>
      <c r="AQ155" s="107">
        <f t="shared" si="104"/>
        <v>0.0132</v>
      </c>
      <c r="AR155" s="105">
        <f t="shared" si="105"/>
        <v>5.12478433348301</v>
      </c>
      <c r="AS155" s="106">
        <f t="shared" si="106"/>
        <v>19.7333333333333</v>
      </c>
      <c r="AT155" s="107">
        <f t="shared" si="107"/>
        <v>79.383860024429</v>
      </c>
    </row>
    <row r="156" spans="17:46">
      <c r="Q156">
        <v>149</v>
      </c>
      <c r="R156" s="105">
        <f t="shared" si="80"/>
        <v>10</v>
      </c>
      <c r="S156" s="106">
        <f t="shared" si="81"/>
        <v>1.98666666666667</v>
      </c>
      <c r="T156" s="106">
        <f t="shared" si="82"/>
        <v>4</v>
      </c>
      <c r="U156" s="107">
        <f t="shared" si="83"/>
        <v>4.96666666666667</v>
      </c>
      <c r="V156" s="105">
        <f t="shared" si="84"/>
        <v>2</v>
      </c>
      <c r="W156" s="106">
        <f t="shared" si="85"/>
        <v>0.714285714285714</v>
      </c>
      <c r="X156" s="107">
        <f t="shared" si="86"/>
        <v>0.285714285714286</v>
      </c>
      <c r="Y156" s="105">
        <f t="shared" si="92"/>
        <v>0.380952380952381</v>
      </c>
      <c r="Z156" s="106">
        <f t="shared" si="93"/>
        <v>7.33428571428571</v>
      </c>
      <c r="AA156" s="106">
        <f t="shared" si="94"/>
        <v>4.96788400671324</v>
      </c>
      <c r="AB156" s="106">
        <v>0</v>
      </c>
      <c r="AC156" s="106">
        <f t="shared" si="95"/>
        <v>0.246798715041572</v>
      </c>
      <c r="AD156" s="107">
        <f t="shared" si="96"/>
        <v>0.246798715041572</v>
      </c>
      <c r="AE156" s="105">
        <f t="shared" si="97"/>
        <v>7.04793650793651</v>
      </c>
      <c r="AF156" s="106">
        <f t="shared" si="98"/>
        <v>4.96788400671324</v>
      </c>
      <c r="AG156" s="106">
        <f t="shared" si="87"/>
        <v>1.85099036281179</v>
      </c>
      <c r="AH156" s="106">
        <f t="shared" si="88"/>
        <v>0.741359294531808</v>
      </c>
      <c r="AI156" s="107">
        <f t="shared" si="99"/>
        <v>2.5923496573436</v>
      </c>
      <c r="AJ156" s="105">
        <f t="shared" si="100"/>
        <v>1.98666666666667</v>
      </c>
      <c r="AK156" s="106">
        <f t="shared" si="101"/>
        <v>3.81897922931737</v>
      </c>
      <c r="AL156" s="106">
        <f t="shared" si="102"/>
        <v>1.23173333333333</v>
      </c>
      <c r="AM156" s="106">
        <f t="shared" si="89"/>
        <v>0</v>
      </c>
      <c r="AN156" s="107">
        <f t="shared" si="103"/>
        <v>1.23173333333333</v>
      </c>
      <c r="AO156" s="105">
        <f t="shared" si="90"/>
        <v>1.23399357520786</v>
      </c>
      <c r="AP156" s="106">
        <f t="shared" si="91"/>
        <v>0.108</v>
      </c>
      <c r="AQ156" s="107">
        <f t="shared" si="104"/>
        <v>0.0132</v>
      </c>
      <c r="AR156" s="105">
        <f t="shared" si="105"/>
        <v>5.17927656588479</v>
      </c>
      <c r="AS156" s="106">
        <f t="shared" si="106"/>
        <v>19.8666666666667</v>
      </c>
      <c r="AT156" s="107">
        <f t="shared" si="107"/>
        <v>79.3208963312133</v>
      </c>
    </row>
    <row r="157" ht="15.75" spans="17:46">
      <c r="Q157">
        <v>150</v>
      </c>
      <c r="R157" s="113">
        <f t="shared" si="80"/>
        <v>10</v>
      </c>
      <c r="S157" s="114">
        <f t="shared" si="81"/>
        <v>2</v>
      </c>
      <c r="T157" s="114">
        <f t="shared" si="82"/>
        <v>4</v>
      </c>
      <c r="U157" s="115">
        <f t="shared" si="83"/>
        <v>5</v>
      </c>
      <c r="V157" s="105">
        <f t="shared" si="84"/>
        <v>2</v>
      </c>
      <c r="W157" s="106">
        <f t="shared" si="85"/>
        <v>0.714285714285714</v>
      </c>
      <c r="X157" s="107">
        <f t="shared" si="86"/>
        <v>0.285714285714286</v>
      </c>
      <c r="Y157" s="105">
        <f t="shared" si="92"/>
        <v>0.380952380952381</v>
      </c>
      <c r="Z157" s="106">
        <f t="shared" si="93"/>
        <v>7.38095238095238</v>
      </c>
      <c r="AA157" s="106">
        <f t="shared" si="94"/>
        <v>5.00120922641509</v>
      </c>
      <c r="AB157" s="106">
        <v>0</v>
      </c>
      <c r="AC157" s="106">
        <f t="shared" si="95"/>
        <v>0.250120937263794</v>
      </c>
      <c r="AD157" s="107">
        <f t="shared" si="96"/>
        <v>0.250120937263794</v>
      </c>
      <c r="AE157" s="105">
        <f t="shared" si="97"/>
        <v>7.14285714285714</v>
      </c>
      <c r="AF157" s="106">
        <f t="shared" si="98"/>
        <v>5.00120922641509</v>
      </c>
      <c r="AG157" s="106">
        <f t="shared" si="87"/>
        <v>1.87590702947846</v>
      </c>
      <c r="AH157" s="106">
        <f t="shared" si="88"/>
        <v>0.74633486026692</v>
      </c>
      <c r="AI157" s="107">
        <f t="shared" si="99"/>
        <v>2.62224188974538</v>
      </c>
      <c r="AJ157" s="105">
        <f t="shared" si="100"/>
        <v>2</v>
      </c>
      <c r="AK157" s="106">
        <f t="shared" si="101"/>
        <v>3.84392067601313</v>
      </c>
      <c r="AL157" s="106">
        <f t="shared" si="102"/>
        <v>1.24</v>
      </c>
      <c r="AM157" s="106">
        <f t="shared" si="89"/>
        <v>0</v>
      </c>
      <c r="AN157" s="107">
        <f t="shared" si="103"/>
        <v>1.24</v>
      </c>
      <c r="AO157" s="105">
        <f t="shared" si="90"/>
        <v>1.25060468631897</v>
      </c>
      <c r="AP157" s="106">
        <f t="shared" si="91"/>
        <v>0.108</v>
      </c>
      <c r="AQ157" s="107">
        <f t="shared" si="104"/>
        <v>0.0132</v>
      </c>
      <c r="AR157" s="105">
        <f t="shared" si="105"/>
        <v>5.23404657606435</v>
      </c>
      <c r="AS157" s="106">
        <f t="shared" si="106"/>
        <v>20</v>
      </c>
      <c r="AT157" s="107">
        <f t="shared" si="107"/>
        <v>79.2579974825398</v>
      </c>
    </row>
  </sheetData>
  <mergeCells count="8">
    <mergeCell ref="A1:M1"/>
    <mergeCell ref="Y2:AD2"/>
    <mergeCell ref="R5:U5"/>
    <mergeCell ref="V5:X5"/>
    <mergeCell ref="Y5:AD5"/>
    <mergeCell ref="AE5:AI5"/>
    <mergeCell ref="AJ5:AN5"/>
    <mergeCell ref="AO5:AQ5"/>
  </mergeCells>
  <pageMargins left="0.7" right="0.7" top="0.75" bottom="0.75" header="0.3" footer="0.3"/>
  <pageSetup paperSize="1" orientation="portrait"/>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BP708"/>
  <sheetViews>
    <sheetView zoomScale="85" zoomScaleNormal="85" topLeftCell="A40" workbookViewId="0">
      <selection activeCell="E73" sqref="E73"/>
    </sheetView>
  </sheetViews>
  <sheetFormatPr defaultColWidth="9" defaultRowHeight="15"/>
  <cols>
    <col min="1" max="1" width="18.7142857142857" customWidth="1"/>
    <col min="2" max="2" width="25" customWidth="1"/>
    <col min="8" max="10" width="8.85714285714286"/>
    <col min="15" max="15" width="16.5714285714286" style="18" customWidth="1"/>
    <col min="16" max="16" width="16.5714285714286" customWidth="1"/>
    <col min="29" max="29" width="8.85714285714286"/>
    <col min="32" max="37" width="8.71428571428571"/>
    <col min="38" max="38" width="11.4285714285714" customWidth="1"/>
    <col min="39" max="40" width="8.71428571428571"/>
    <col min="41" max="41" width="13.1428571428571" customWidth="1"/>
    <col min="42" max="44" width="8.71428571428571"/>
    <col min="46" max="46" width="10.1428571428571" customWidth="1"/>
    <col min="47" max="47" width="12" customWidth="1"/>
    <col min="55" max="55" width="8.85714285714286"/>
    <col min="58" max="58" width="8.85714285714286"/>
  </cols>
  <sheetData>
    <row r="1" customFormat="1" ht="27.75" spans="1:68">
      <c r="A1" s="1" t="s">
        <v>90</v>
      </c>
      <c r="B1" s="1"/>
      <c r="C1" s="1"/>
      <c r="D1" s="1"/>
      <c r="E1" s="1"/>
      <c r="F1" s="1"/>
      <c r="G1" s="1"/>
      <c r="H1" s="1"/>
      <c r="I1" s="1"/>
      <c r="J1" s="1"/>
      <c r="K1" s="1"/>
      <c r="L1" s="1"/>
      <c r="M1" s="1"/>
      <c r="N1" s="1" t="s">
        <v>434</v>
      </c>
      <c r="O1" s="1"/>
      <c r="P1" s="1"/>
      <c r="Q1" s="1"/>
      <c r="R1" s="1"/>
      <c r="S1" s="1"/>
      <c r="T1" s="1"/>
      <c r="U1" s="1"/>
      <c r="V1" s="1"/>
      <c r="W1" s="1"/>
      <c r="X1" s="1"/>
    </row>
    <row r="2" customFormat="1" spans="1:68">
      <c r="A2" s="2"/>
      <c r="B2" s="2" t="s">
        <v>91</v>
      </c>
      <c r="C2" s="3"/>
      <c r="D2" s="4"/>
      <c r="E2" s="2"/>
      <c r="F2" s="2"/>
      <c r="G2" s="2"/>
      <c r="H2" s="2"/>
      <c r="I2" s="2"/>
      <c r="J2" s="2"/>
      <c r="K2" s="2"/>
      <c r="L2" s="2"/>
      <c r="M2" s="2"/>
      <c r="AF2" s="19" t="s">
        <v>435</v>
      </c>
      <c r="AG2" s="19"/>
      <c r="AH2" s="19"/>
      <c r="AI2" s="19"/>
      <c r="AJ2" s="19"/>
      <c r="AK2" s="19"/>
      <c r="AL2" s="19"/>
      <c r="AM2" s="19"/>
      <c r="AN2" s="19"/>
      <c r="AO2" s="19"/>
      <c r="AP2" s="19"/>
      <c r="AQ2" s="19"/>
      <c r="AR2" s="19"/>
    </row>
    <row r="3" customFormat="1" ht="15.75" spans="1:68">
      <c r="A3" s="2"/>
      <c r="B3" s="2" t="s">
        <v>92</v>
      </c>
      <c r="C3" s="5"/>
      <c r="D3" s="4"/>
      <c r="E3" s="2"/>
      <c r="F3" s="20"/>
      <c r="G3" s="21"/>
      <c r="H3" s="21"/>
      <c r="I3" s="21"/>
      <c r="J3" s="21"/>
      <c r="K3" s="22"/>
      <c r="L3" s="2"/>
      <c r="M3" s="2"/>
      <c r="O3" t="s">
        <v>436</v>
      </c>
    </row>
    <row r="4" customFormat="1" ht="15.75" spans="1:68">
      <c r="A4" s="2"/>
      <c r="B4" s="2" t="s">
        <v>96</v>
      </c>
      <c r="C4" s="6"/>
      <c r="D4" s="4"/>
      <c r="E4" s="2"/>
      <c r="F4" s="20"/>
      <c r="G4" s="21"/>
      <c r="H4" s="21"/>
      <c r="I4" s="21"/>
      <c r="J4" s="21"/>
      <c r="K4" s="22"/>
      <c r="L4" s="2"/>
      <c r="M4" s="2"/>
      <c r="N4" s="23"/>
      <c r="O4" s="24"/>
      <c r="P4" s="25" t="s">
        <v>437</v>
      </c>
      <c r="Q4" s="25"/>
      <c r="R4" s="25"/>
      <c r="S4" s="25"/>
      <c r="T4" s="25"/>
      <c r="U4" s="25"/>
      <c r="V4" s="25"/>
      <c r="W4" s="25"/>
      <c r="X4" s="25"/>
      <c r="Y4" s="25"/>
      <c r="Z4" s="25"/>
      <c r="AA4" s="25"/>
      <c r="AB4" s="25"/>
      <c r="AC4" s="25"/>
      <c r="AD4" s="25"/>
      <c r="AE4" s="26"/>
      <c r="AF4" s="25"/>
      <c r="AG4" s="25"/>
      <c r="AH4" s="25"/>
      <c r="AI4" s="25"/>
      <c r="AJ4" s="25"/>
      <c r="AK4" s="25"/>
      <c r="AL4" s="25"/>
      <c r="AM4" s="25"/>
      <c r="AN4" s="25"/>
      <c r="AO4" s="25"/>
      <c r="AP4" s="25"/>
      <c r="AQ4" s="25"/>
      <c r="AR4" s="25"/>
      <c r="AS4" s="27" t="s">
        <v>438</v>
      </c>
      <c r="AT4" s="25"/>
      <c r="AU4" s="25"/>
      <c r="AV4" s="25"/>
      <c r="AW4" s="25"/>
      <c r="AX4" s="25"/>
      <c r="AY4" s="25"/>
      <c r="AZ4" s="25"/>
      <c r="BA4" s="25"/>
      <c r="BB4" s="25"/>
      <c r="BC4" s="25"/>
      <c r="BD4" s="25"/>
      <c r="BE4" s="26"/>
      <c r="BF4" s="27" t="s">
        <v>439</v>
      </c>
      <c r="BG4" s="25"/>
      <c r="BH4" s="26"/>
      <c r="BI4" s="27" t="s">
        <v>440</v>
      </c>
      <c r="BJ4" s="25"/>
      <c r="BK4" s="26"/>
      <c r="BL4" s="28" t="s">
        <v>441</v>
      </c>
      <c r="BM4" s="29"/>
    </row>
    <row r="5" customFormat="1" spans="1:68">
      <c r="A5" s="2"/>
      <c r="D5" s="4"/>
      <c r="E5" s="2"/>
      <c r="F5" s="2"/>
      <c r="G5" s="2"/>
      <c r="H5" s="2"/>
      <c r="I5" s="2"/>
      <c r="J5" s="2"/>
      <c r="K5" s="2"/>
      <c r="L5" s="2"/>
      <c r="M5" s="2"/>
      <c r="N5" s="30"/>
      <c r="O5" s="31"/>
      <c r="P5" s="32"/>
      <c r="Q5" s="33" t="s">
        <v>442</v>
      </c>
      <c r="R5" s="33"/>
      <c r="S5" s="33"/>
      <c r="T5" s="34" t="s">
        <v>443</v>
      </c>
      <c r="U5" s="34"/>
      <c r="V5" s="34"/>
      <c r="W5" s="34" t="s">
        <v>443</v>
      </c>
      <c r="X5" s="34"/>
      <c r="Y5" s="34"/>
      <c r="Z5" s="34" t="s">
        <v>444</v>
      </c>
      <c r="AA5" s="34"/>
      <c r="AB5" s="34"/>
      <c r="AC5" s="35" t="s">
        <v>445</v>
      </c>
      <c r="AD5" s="34"/>
      <c r="AE5" s="36"/>
      <c r="AF5" s="34"/>
      <c r="AG5" s="33" t="s">
        <v>442</v>
      </c>
      <c r="AH5" s="33"/>
      <c r="AI5" s="33"/>
      <c r="AJ5" s="37" t="s">
        <v>443</v>
      </c>
      <c r="AK5" s="37"/>
      <c r="AL5" s="37"/>
      <c r="AM5" s="34" t="s">
        <v>446</v>
      </c>
      <c r="AN5" s="34"/>
      <c r="AO5" s="34"/>
      <c r="AP5" s="38" t="s">
        <v>445</v>
      </c>
      <c r="AQ5" s="37"/>
      <c r="AR5" s="39"/>
      <c r="AS5" s="32"/>
      <c r="AT5" s="34" t="s">
        <v>447</v>
      </c>
      <c r="AU5" s="34"/>
      <c r="AV5" s="34"/>
      <c r="AW5" s="34" t="s">
        <v>448</v>
      </c>
      <c r="AX5" s="34"/>
      <c r="AY5" s="34"/>
      <c r="AZ5" s="34" t="s">
        <v>449</v>
      </c>
      <c r="BA5" s="34"/>
      <c r="BB5" s="34"/>
      <c r="BC5" s="35" t="s">
        <v>445</v>
      </c>
      <c r="BD5" s="34"/>
      <c r="BE5" s="36"/>
      <c r="BF5" s="35" t="s">
        <v>445</v>
      </c>
      <c r="BG5" s="34"/>
      <c r="BH5" s="36"/>
      <c r="BI5" s="35" t="s">
        <v>445</v>
      </c>
      <c r="BJ5" s="34"/>
      <c r="BK5" s="36"/>
      <c r="BL5" s="35" t="s">
        <v>445</v>
      </c>
      <c r="BM5" s="40"/>
    </row>
    <row r="6" customFormat="1" ht="15.75" spans="1:68">
      <c r="A6" s="7" t="s">
        <v>97</v>
      </c>
      <c r="B6" s="7" t="s">
        <v>98</v>
      </c>
      <c r="C6" s="7" t="s">
        <v>99</v>
      </c>
      <c r="D6" s="4"/>
      <c r="E6" s="8" t="s">
        <v>100</v>
      </c>
      <c r="F6" s="8"/>
      <c r="G6" s="8"/>
      <c r="H6" s="8"/>
      <c r="I6" s="8"/>
      <c r="J6" s="8"/>
      <c r="K6" s="8"/>
      <c r="L6" s="8"/>
      <c r="M6" s="41"/>
      <c r="N6" s="30"/>
      <c r="O6" s="31"/>
      <c r="P6" s="42" t="s">
        <v>450</v>
      </c>
      <c r="Q6" s="32" t="s">
        <v>451</v>
      </c>
      <c r="R6" s="42" t="s">
        <v>452</v>
      </c>
      <c r="S6" s="42" t="s">
        <v>453</v>
      </c>
      <c r="T6" s="42" t="s">
        <v>451</v>
      </c>
      <c r="U6" s="42" t="s">
        <v>452</v>
      </c>
      <c r="V6" s="42" t="s">
        <v>453</v>
      </c>
      <c r="W6" s="43" t="s">
        <v>451</v>
      </c>
      <c r="X6" s="42" t="s">
        <v>452</v>
      </c>
      <c r="Y6" s="42" t="s">
        <v>453</v>
      </c>
      <c r="Z6" s="43" t="s">
        <v>451</v>
      </c>
      <c r="AA6" s="43" t="s">
        <v>452</v>
      </c>
      <c r="AB6" s="43" t="s">
        <v>453</v>
      </c>
      <c r="AC6" s="44" t="s">
        <v>454</v>
      </c>
      <c r="AD6" s="43" t="s">
        <v>452</v>
      </c>
      <c r="AE6" s="45" t="s">
        <v>453</v>
      </c>
      <c r="AF6" s="46" t="s">
        <v>450</v>
      </c>
      <c r="AG6" s="47" t="s">
        <v>451</v>
      </c>
      <c r="AH6" s="47" t="s">
        <v>455</v>
      </c>
      <c r="AI6" s="47" t="s">
        <v>453</v>
      </c>
      <c r="AJ6" s="47" t="s">
        <v>451</v>
      </c>
      <c r="AK6" s="47" t="s">
        <v>455</v>
      </c>
      <c r="AL6" s="47" t="s">
        <v>453</v>
      </c>
      <c r="AM6" s="47" t="s">
        <v>451</v>
      </c>
      <c r="AN6" s="47" t="s">
        <v>455</v>
      </c>
      <c r="AO6" s="47" t="s">
        <v>453</v>
      </c>
      <c r="AP6" s="48" t="s">
        <v>454</v>
      </c>
      <c r="AQ6" s="49" t="s">
        <v>452</v>
      </c>
      <c r="AR6" s="50" t="s">
        <v>453</v>
      </c>
      <c r="AS6" s="42" t="s">
        <v>456</v>
      </c>
      <c r="AT6" s="43" t="s">
        <v>451</v>
      </c>
      <c r="AU6" s="43" t="s">
        <v>455</v>
      </c>
      <c r="AV6" s="43" t="s">
        <v>453</v>
      </c>
      <c r="AW6" s="43" t="s">
        <v>451</v>
      </c>
      <c r="AX6" s="43" t="s">
        <v>455</v>
      </c>
      <c r="AY6" s="43" t="s">
        <v>453</v>
      </c>
      <c r="AZ6" s="43" t="s">
        <v>451</v>
      </c>
      <c r="BA6" s="43" t="s">
        <v>455</v>
      </c>
      <c r="BB6" s="43" t="s">
        <v>453</v>
      </c>
      <c r="BC6" s="44" t="s">
        <v>454</v>
      </c>
      <c r="BD6" s="43" t="s">
        <v>452</v>
      </c>
      <c r="BE6" s="45" t="s">
        <v>453</v>
      </c>
      <c r="BF6" s="44" t="s">
        <v>454</v>
      </c>
      <c r="BG6" s="43" t="s">
        <v>452</v>
      </c>
      <c r="BH6" s="45" t="s">
        <v>453</v>
      </c>
      <c r="BI6" s="44" t="s">
        <v>454</v>
      </c>
      <c r="BJ6" s="43" t="s">
        <v>452</v>
      </c>
      <c r="BK6" s="45" t="s">
        <v>453</v>
      </c>
      <c r="BL6" s="43" t="s">
        <v>452</v>
      </c>
      <c r="BM6" s="43" t="s">
        <v>453</v>
      </c>
    </row>
    <row r="7" customFormat="1" ht="15.75" spans="1:68">
      <c r="A7" s="7"/>
      <c r="B7" s="7"/>
      <c r="C7" s="7"/>
      <c r="D7" s="4"/>
      <c r="E7" s="8"/>
      <c r="F7" s="8"/>
      <c r="G7" s="8"/>
      <c r="H7" s="8"/>
      <c r="I7" s="8"/>
      <c r="J7" s="8"/>
      <c r="K7" s="8"/>
      <c r="L7" s="8"/>
      <c r="M7" s="41"/>
      <c r="N7" t="s">
        <v>457</v>
      </c>
      <c r="O7" s="24">
        <f>fcross</f>
        <v>800</v>
      </c>
      <c r="P7" s="51" t="str">
        <f>COMPLEX(ADC_VINmin,0)</f>
        <v>11,7391304347826</v>
      </c>
      <c r="Q7" s="52" t="str">
        <f>IMSUM(COMPLEX(1,0),IMDIV(COMPLEX(0,2*PI()*O7),COMPLEX(wp_lf_VINmin,0)))</f>
        <v>1+1,42054624336234i</v>
      </c>
      <c r="R7" s="52">
        <f t="shared" ref="R7:R13" si="0">IMABS(Q7)</f>
        <v>1.73722526735333</v>
      </c>
      <c r="S7" s="52">
        <f t="shared" ref="S7:S13" si="1">IMARGUMENT(Q7)</f>
        <v>0.957421225881279</v>
      </c>
      <c r="T7" s="52" t="str">
        <f>IMSUM(COMPLEX(1,0),IMDIV(COMPLEX(0,2*PI()*O7),COMPLEX(wz_esr_VINmin,0)))</f>
        <v>1+0,00100530964914873i</v>
      </c>
      <c r="U7" s="52">
        <f t="shared" ref="U7:U13" si="2">IMABS(T7)</f>
        <v>1.00000050532362</v>
      </c>
      <c r="V7" s="52">
        <f t="shared" ref="V7:V13" si="3">IMARGUMENT(T7)</f>
        <v>0.00100530931047771</v>
      </c>
      <c r="W7" s="53" t="str">
        <f>IMSUB(COMPLEX(1,0),IMDIV(COMPLEX(0,2*PI()*O7),COMPLEX(wz_RHP_VINmin,0)))</f>
        <v>1-0,145211393765928i</v>
      </c>
      <c r="X7" s="52">
        <f t="shared" ref="X7:X13" si="4">IMABS(W7)</f>
        <v>1.01048817354754</v>
      </c>
      <c r="Y7" s="52">
        <f t="shared" ref="Y7:Y13" si="5">IMARGUMENT(W7)</f>
        <v>-0.144203456225055</v>
      </c>
      <c r="Z7" s="53" t="str">
        <f>IMSUM(COMPLEX(1,0),IMDIV(COMPLEX(0,2*PI()*O7),COMPLEX(Q_VINmin*(wsl_VINmin/2),0)),IMDIV(IMPOWER(COMPLEX(0,2*PI()*O7),2),IMPOWER(COMPLEX(wsl_VINmin/2,0),2)))</f>
        <v>0,999995448888889+0,00476877654083376i</v>
      </c>
      <c r="AA7" s="52">
        <f t="shared" ref="AA7:AA13" si="6">IMABS(Z7)</f>
        <v>1.00000681949084</v>
      </c>
      <c r="AB7" s="52">
        <f t="shared" ref="AB7:AB13" si="7">IMARGUMENT(Z7)</f>
        <v>0.00476876209488323</v>
      </c>
      <c r="AC7" s="54" t="str">
        <f t="shared" ref="AC7:AC13" si="8">(IMDIV(IMPRODUCT(P7,T7,W7),IMPRODUCT(Q7,Z7)))</f>
        <v>3,06442605868025-6,10197086230499i</v>
      </c>
      <c r="AD7" s="55">
        <f t="shared" ref="AD7:AD13" si="9">20*LOG(IMABS(AC7))</f>
        <v>16.6861656713799</v>
      </c>
      <c r="AE7" s="24">
        <f t="shared" ref="AE7:AE13" si="10">(180/PI())*IMARGUMENT(AC7)</f>
        <v>-63.3340748530771</v>
      </c>
      <c r="AF7" s="32" t="str">
        <f>COMPLEX($B$68,0)</f>
        <v>75,4669735059805</v>
      </c>
      <c r="AG7" s="32" t="str">
        <f t="shared" ref="AG7:AG13" si="11">IMSUM(COMPLEX(1,0),IMDIV(COMPLEX(0,2*PI()*O7),COMPLEX(wp_lf_DCM,0)))</f>
        <v>1+0,942477796076939i</v>
      </c>
      <c r="AH7" s="32">
        <f>IMABS(AG7)</f>
        <v>1.37414133046716</v>
      </c>
      <c r="AI7" s="32">
        <f>IMARGUMENT(AG7)</f>
        <v>0.755794016159308</v>
      </c>
      <c r="AJ7" s="32" t="str">
        <f t="shared" ref="AJ7:AJ13" si="12">IMSUM(COMPLEX(1,0),IMDIV(COMPLEX(0,2*PI()*O7),COMPLEX(wz1_dcm,0)))</f>
        <v>1+0,00100530964914873i</v>
      </c>
      <c r="AK7" s="32">
        <f>IMABS(AJ7)</f>
        <v>1.00000050532362</v>
      </c>
      <c r="AL7" s="32">
        <f>IMARGUMENT(AJ7)</f>
        <v>0.00100530931047771</v>
      </c>
      <c r="AM7" s="32" t="str">
        <f t="shared" ref="AM7:AM13" si="13">IMSUB(COMPLEX(1,0),IMDIV(COMPLEX(0,2*PI()*O7),COMPLEX(wz2_dcm,0)))</f>
        <v>1-0,0112397035696652i</v>
      </c>
      <c r="AN7" s="32">
        <f>IMABS(AM7)</f>
        <v>1.00006316347335</v>
      </c>
      <c r="AO7" s="32">
        <f>IMARGUMENT(AM7)</f>
        <v>-0.0112392302981126</v>
      </c>
      <c r="AP7" s="30" t="str">
        <f>(IMDIV(IMPRODUCT(AF7,AJ7,AM7),IMPRODUCT(AG7)))</f>
        <v>39,5812659670009-38,0768230493636i</v>
      </c>
      <c r="AQ7" s="32">
        <f>20*LOG(IMABS(AP7))</f>
        <v>34.7950636302041</v>
      </c>
      <c r="AR7" s="31">
        <f>(180/PI())*IMARGUMENT(AP7)</f>
        <v>-43.8901677876326</v>
      </c>
      <c r="AS7" s="53" t="str">
        <f t="shared" ref="AS7:AS13" si="14">COMPLEX(Adc_ea,0)</f>
        <v>-0,000338461538461538</v>
      </c>
      <c r="AT7" s="53" t="str">
        <f t="shared" ref="AT7:AT13" si="15">COMPLEX(0,2*PI()*O7*wp0_ea)</f>
        <v>0,000879917376610412i</v>
      </c>
      <c r="AU7" s="53">
        <f t="shared" ref="AU7:AU13" si="16">IMABS(AT7)</f>
        <v>0.000879917376610412</v>
      </c>
      <c r="AV7" s="53">
        <f t="shared" ref="AV7:AV13" si="17">IMARGUMENT(AT7)</f>
        <v>1.5707963267949</v>
      </c>
      <c r="AW7" s="53" t="str">
        <f t="shared" ref="AW7:AW13" si="18">IMSUM(COMPLEX(1,0),IMDIV(COMPLEX(0,2*PI()*O7),COMPLEX(wp1_ea,0)))</f>
        <v>1+0,142807332783002i</v>
      </c>
      <c r="AX7" s="53">
        <f t="shared" ref="AX7:AX13" si="19">IMABS(AW7)</f>
        <v>1.01014550154747</v>
      </c>
      <c r="AY7" s="53">
        <f t="shared" ref="AY7:AY13" si="20">IMARGUMENT(AW7)</f>
        <v>0.141848240391143</v>
      </c>
      <c r="AZ7" s="53" t="str">
        <f t="shared" ref="AZ7:AZ13" si="21">IMSUM(COMPLEX(1,0),IMDIV(COMPLEX(0,2*PI()*O7),COMPLEX(wz_ea,0)))</f>
        <v>1+1,24658396494443i</v>
      </c>
      <c r="BA7" s="53">
        <f t="shared" ref="BA7:BA13" si="22">IMABS(AZ7)</f>
        <v>1.59811500889535</v>
      </c>
      <c r="BB7" s="53">
        <f t="shared" ref="BB7:BB13" si="23">IMARGUMENT(AZ7)</f>
        <v>0.894720073405516</v>
      </c>
      <c r="BC7" s="23" t="str">
        <f t="shared" ref="BC7:BC13" si="24">IMPRODUCT(AS7,IMDIV(AZ7,IMPRODUCT(AT7,AW7)))</f>
        <v>-0,416083752112285+0,444071310481053i</v>
      </c>
      <c r="BD7" s="53">
        <f t="shared" ref="BD7:BD13" si="25">20*LOG(IMABS(BC7))</f>
        <v>-4.31416947893638</v>
      </c>
      <c r="BE7" s="24">
        <f t="shared" ref="BE7:BE13" si="26">(180/PI())*IMARGUMENT(BC7)</f>
        <v>133.136378546002</v>
      </c>
      <c r="BF7" s="23" t="str">
        <f t="shared" ref="BF7:BF13" si="27">IMPRODUCT(AC7,BC7)</f>
        <v>1,43465230477464+3,89975462741812i</v>
      </c>
      <c r="BG7" s="55">
        <f t="shared" ref="BG7:BG13" si="28">20*LOG(IMABS(BF7))</f>
        <v>12.3719961924436</v>
      </c>
      <c r="BH7" s="24">
        <f t="shared" ref="BH7:BH13" si="29">(180/PI())*IMARGUMENT(BF7)</f>
        <v>69.8023036929245</v>
      </c>
      <c r="BI7" s="23" t="str">
        <f>IMPRODUCT(AP7,BC7)</f>
        <v>0,439703053582033+33,4200520513599i</v>
      </c>
      <c r="BJ7" s="55">
        <f t="shared" ref="BJ7:BJ13" si="30">20*LOG(IMABS(BI7))</f>
        <v>30.4808941512677</v>
      </c>
      <c r="BK7" s="24">
        <f t="shared" ref="BK7:BK13" si="31">(180/PI())*IMARGUMENT(BI7)</f>
        <v>89.2462107583691</v>
      </c>
      <c r="BL7">
        <f>IF($B$31=0,BJ7,BG7)</f>
        <v>12.3719961924436</v>
      </c>
      <c r="BM7">
        <f>IF($B$31=0,BK7,BH7)</f>
        <v>69.8023036929245</v>
      </c>
    </row>
    <row r="8" customFormat="1" ht="15.75" spans="1:68">
      <c r="A8" s="7"/>
      <c r="B8" s="7"/>
      <c r="C8" s="7"/>
      <c r="D8" s="4"/>
      <c r="E8" s="8"/>
      <c r="F8" s="8"/>
      <c r="G8" s="8"/>
      <c r="H8" s="8"/>
      <c r="I8" s="8"/>
      <c r="J8" s="8"/>
      <c r="K8" s="8"/>
      <c r="L8" s="8"/>
      <c r="M8" s="41"/>
      <c r="N8" s="23" t="s">
        <v>458</v>
      </c>
      <c r="O8" s="24">
        <f>fcross</f>
        <v>800</v>
      </c>
      <c r="P8" s="51" t="str">
        <f t="shared" ref="P8:P13" si="32">COMPLEX(Adc,0)</f>
        <v>15</v>
      </c>
      <c r="Q8" s="52" t="str">
        <f t="shared" ref="Q8:Q13" si="33">IMSUM(COMPLEX(1,0),IMDIV(COMPLEX(0,2*PI()*O8),COMPLEX(wp_lf,0)))</f>
        <v>1+1,46607657167524i</v>
      </c>
      <c r="R8" s="52">
        <f t="shared" si="0"/>
        <v>1.77464940594333</v>
      </c>
      <c r="S8" s="52">
        <f t="shared" si="1"/>
        <v>0.972190116182317</v>
      </c>
      <c r="T8" s="52" t="str">
        <f t="shared" ref="T8:T13" si="34">IMSUM(COMPLEX(1,0),IMDIV(COMPLEX(0,2*PI()*O8),COMPLEX(wz_esr,0)))</f>
        <v>1+0,00100530964914873i</v>
      </c>
      <c r="U8" s="52">
        <f t="shared" si="2"/>
        <v>1.00000050532362</v>
      </c>
      <c r="V8" s="52">
        <f t="shared" si="3"/>
        <v>0.00100530931047771</v>
      </c>
      <c r="W8" s="53" t="str">
        <f t="shared" ref="W8:W13" si="35">IMSUB(COMPLEX(1,0),IMDIV(COMPLEX(0,2*PI()*O8),COMPLEX(wz_rhp,0)))</f>
        <v>1-0,0879645943005143i</v>
      </c>
      <c r="X8" s="52">
        <f t="shared" si="4"/>
        <v>1.00386142960593</v>
      </c>
      <c r="Y8" s="52">
        <f t="shared" si="5"/>
        <v>-0.0877387585939137</v>
      </c>
      <c r="Z8" s="53" t="str">
        <f t="shared" ref="Z8:Z13" si="36">IMSUM(COMPLEX(1,0),IMDIV(COMPLEX(0,2*PI()*O8),COMPLEX(Q*(wsl/2),0)),IMDIV(IMPOWER(COMPLEX(0,2*PI()*O8),2),IMPOWER(COMPLEX(wsl/2,0),2)))</f>
        <v>0,999995448888889+0,00466750908533339i</v>
      </c>
      <c r="AA8" s="52">
        <f t="shared" si="6"/>
        <v>1.00000634169967</v>
      </c>
      <c r="AB8" s="52">
        <f t="shared" si="7"/>
        <v>0.00466749643287027</v>
      </c>
      <c r="AC8" s="54" t="str">
        <f t="shared" si="8"/>
        <v>4,12145387194984-7,41675169194355i</v>
      </c>
      <c r="AD8" s="55">
        <f t="shared" si="9"/>
        <v>18.5729984879672</v>
      </c>
      <c r="AE8" s="24">
        <f t="shared" si="10"/>
        <v>-60.9392789746286</v>
      </c>
      <c r="AF8" s="32" t="str">
        <f t="shared" ref="AF8:AF13" si="37">COMPLEX($B$68,0)</f>
        <v>75,4669735059805</v>
      </c>
      <c r="AG8" s="32" t="str">
        <f t="shared" si="11"/>
        <v>1+0,942477796076939i</v>
      </c>
      <c r="AH8" s="32">
        <f t="shared" ref="AH8:AH13" si="38">IMABS(AG8)</f>
        <v>1.37414133046716</v>
      </c>
      <c r="AI8" s="32">
        <f t="shared" ref="AI8:AI13" si="39">IMARGUMENT(AG8)</f>
        <v>0.755794016159308</v>
      </c>
      <c r="AJ8" s="32" t="str">
        <f t="shared" si="12"/>
        <v>1+0,00100530964914873i</v>
      </c>
      <c r="AK8" s="32">
        <f t="shared" ref="AK8:AK13" si="40">IMABS(AJ8)</f>
        <v>1.00000050532362</v>
      </c>
      <c r="AL8" s="32">
        <f t="shared" ref="AL8:AL13" si="41">IMARGUMENT(AJ8)</f>
        <v>0.00100530931047771</v>
      </c>
      <c r="AM8" s="32" t="str">
        <f t="shared" si="13"/>
        <v>1-0,0112397035696652i</v>
      </c>
      <c r="AN8" s="32">
        <f t="shared" ref="AN8:AN13" si="42">IMABS(AM8)</f>
        <v>1.00006316347335</v>
      </c>
      <c r="AO8" s="32">
        <f t="shared" ref="AO8:AO13" si="43">IMARGUMENT(AM8)</f>
        <v>-0.0112392302981126</v>
      </c>
      <c r="AP8" s="30" t="str">
        <f t="shared" ref="AP8:AP13" si="44">(IMDIV(IMPRODUCT(AF8,AJ8,AM8),IMPRODUCT(AG8)))</f>
        <v>39,5812659670009-38,0768230493636i</v>
      </c>
      <c r="AQ8" s="32">
        <f t="shared" ref="AQ8:AQ13" si="45">20*LOG(IMABS(AP8))</f>
        <v>34.7950636302041</v>
      </c>
      <c r="AR8" s="31">
        <f t="shared" ref="AR8:AR13" si="46">(180/PI())*IMARGUMENT(AP8)</f>
        <v>-43.8901677876326</v>
      </c>
      <c r="AS8" s="53" t="str">
        <f t="shared" si="14"/>
        <v>-0,000338461538461538</v>
      </c>
      <c r="AT8" s="53" t="str">
        <f t="shared" si="15"/>
        <v>0,000879917376610412i</v>
      </c>
      <c r="AU8" s="53">
        <f t="shared" si="16"/>
        <v>0.000879917376610412</v>
      </c>
      <c r="AV8" s="53">
        <f t="shared" si="17"/>
        <v>1.5707963267949</v>
      </c>
      <c r="AW8" s="53" t="str">
        <f t="shared" si="18"/>
        <v>1+0,142807332783002i</v>
      </c>
      <c r="AX8" s="53">
        <f t="shared" si="19"/>
        <v>1.01014550154747</v>
      </c>
      <c r="AY8" s="53">
        <f t="shared" si="20"/>
        <v>0.141848240391143</v>
      </c>
      <c r="AZ8" s="53" t="str">
        <f t="shared" si="21"/>
        <v>1+1,24658396494443i</v>
      </c>
      <c r="BA8" s="53">
        <f t="shared" si="22"/>
        <v>1.59811500889535</v>
      </c>
      <c r="BB8" s="53">
        <f t="shared" si="23"/>
        <v>0.894720073405516</v>
      </c>
      <c r="BC8" s="23" t="str">
        <f t="shared" si="24"/>
        <v>-0,416083752112285+0,444071310481053i</v>
      </c>
      <c r="BD8" s="53">
        <f t="shared" si="25"/>
        <v>-4.31416947893638</v>
      </c>
      <c r="BE8" s="24">
        <f t="shared" si="26"/>
        <v>133.136378546002</v>
      </c>
      <c r="BF8" s="23" t="str">
        <f t="shared" si="27"/>
        <v>1,57869665215535+4,91620929447299i</v>
      </c>
      <c r="BG8" s="55">
        <f t="shared" si="28"/>
        <v>14.2588290090308</v>
      </c>
      <c r="BH8" s="24">
        <f t="shared" si="29"/>
        <v>72.1970995713729</v>
      </c>
      <c r="BI8" s="23" t="str">
        <f t="shared" ref="BI8:BI13" si="47">IMPRODUCT(AP8,BC8)</f>
        <v>0,439703053582033+33,4200520513599i</v>
      </c>
      <c r="BJ8" s="55">
        <f t="shared" si="30"/>
        <v>30.4808941512677</v>
      </c>
      <c r="BK8" s="24">
        <f t="shared" si="31"/>
        <v>89.2462107583691</v>
      </c>
      <c r="BL8">
        <f t="shared" ref="BL8:BL13" si="48">IF($B$31=0,BJ8,BG8)</f>
        <v>14.2588290090308</v>
      </c>
      <c r="BM8">
        <f t="shared" ref="BM8:BM13" si="49">IF($B$31=0,BK8,BH8)</f>
        <v>72.1970995713729</v>
      </c>
    </row>
    <row r="9" customFormat="1" ht="15.75" spans="1:68">
      <c r="A9" s="56" t="s">
        <v>459</v>
      </c>
      <c r="B9" s="7"/>
      <c r="C9" s="7"/>
      <c r="D9" s="4"/>
      <c r="E9" s="8"/>
      <c r="F9" s="8"/>
      <c r="G9" s="8"/>
      <c r="H9" s="8"/>
      <c r="I9" s="8"/>
      <c r="J9" s="8"/>
      <c r="K9" s="8"/>
      <c r="L9" s="8"/>
      <c r="M9" s="41"/>
      <c r="N9" s="57" t="s">
        <v>446</v>
      </c>
      <c r="O9" s="58">
        <f>IF($B$31=0,B74,wz_rhp/(2*PI()))</f>
        <v>9094.56817667973</v>
      </c>
      <c r="P9" s="59" t="str">
        <f t="shared" si="32"/>
        <v>15</v>
      </c>
      <c r="Q9" s="60" t="str">
        <f t="shared" si="33"/>
        <v>1+16,6666666666666i</v>
      </c>
      <c r="R9" s="60">
        <f t="shared" si="0"/>
        <v>16.6966397151575</v>
      </c>
      <c r="S9" s="60">
        <f t="shared" si="1"/>
        <v>1.51086817167369</v>
      </c>
      <c r="T9" s="60" t="str">
        <f t="shared" si="34"/>
        <v>1+0,0114285714285714i</v>
      </c>
      <c r="U9" s="60">
        <f t="shared" si="2"/>
        <v>1.00006530399014</v>
      </c>
      <c r="V9" s="60">
        <f t="shared" si="3"/>
        <v>0.0114280738971043</v>
      </c>
      <c r="W9" s="61" t="str">
        <f t="shared" si="35"/>
        <v>1-i</v>
      </c>
      <c r="X9" s="60">
        <f t="shared" si="4"/>
        <v>1.4142135623731</v>
      </c>
      <c r="Y9" s="60">
        <f t="shared" si="5"/>
        <v>-0.785398163397448</v>
      </c>
      <c r="Z9" s="61" t="str">
        <f t="shared" si="36"/>
        <v>0,999411831677723+0,0530612244897957i</v>
      </c>
      <c r="AA9" s="60">
        <f t="shared" si="6"/>
        <v>1.00081941569984</v>
      </c>
      <c r="AB9" s="60">
        <f t="shared" si="7"/>
        <v>0.0530426501727109</v>
      </c>
      <c r="AC9" s="62" t="str">
        <f t="shared" si="8"/>
        <v>-0,881117580963426-0,913996214771282i</v>
      </c>
      <c r="AD9" s="63">
        <f t="shared" si="9"/>
        <v>2.07299638383918</v>
      </c>
      <c r="AE9" s="64">
        <f t="shared" si="10"/>
        <v>-133.950709224367</v>
      </c>
      <c r="AF9" s="32" t="str">
        <f t="shared" si="37"/>
        <v>75,4669735059805</v>
      </c>
      <c r="AG9" s="32" t="str">
        <f t="shared" si="11"/>
        <v>1+10,7142857142857i</v>
      </c>
      <c r="AH9" s="32">
        <f t="shared" si="38"/>
        <v>10.7608511915808</v>
      </c>
      <c r="AI9" s="32">
        <f t="shared" si="39"/>
        <v>1.47773259807048</v>
      </c>
      <c r="AJ9" s="32" t="str">
        <f t="shared" si="12"/>
        <v>1+0,0114285714285714i</v>
      </c>
      <c r="AK9" s="32">
        <f t="shared" si="40"/>
        <v>1.00006530399014</v>
      </c>
      <c r="AL9" s="32">
        <f t="shared" si="41"/>
        <v>0.0114280738971043</v>
      </c>
      <c r="AM9" s="32" t="str">
        <f t="shared" si="13"/>
        <v>1-0,127775312999988i</v>
      </c>
      <c r="AN9" s="32">
        <f t="shared" si="42"/>
        <v>1.00813021510728</v>
      </c>
      <c r="AO9" s="32">
        <f t="shared" si="43"/>
        <v>-0.127086670549042</v>
      </c>
      <c r="AP9" s="30" t="str">
        <f t="shared" si="44"/>
        <v>-0,15974532333229-7,06877942797415i</v>
      </c>
      <c r="AQ9" s="32">
        <f t="shared" si="45"/>
        <v>16.9891059894785</v>
      </c>
      <c r="AR9" s="31">
        <f t="shared" si="46"/>
        <v>-91.2945905709024</v>
      </c>
      <c r="AS9" s="61" t="str">
        <f t="shared" si="14"/>
        <v>-0,000338461538461538</v>
      </c>
      <c r="AT9" s="61" t="str">
        <f t="shared" si="15"/>
        <v>0,0100030857142857i</v>
      </c>
      <c r="AU9" s="61">
        <f t="shared" si="16"/>
        <v>0.0100030857142857</v>
      </c>
      <c r="AV9" s="61">
        <f t="shared" si="17"/>
        <v>1.5707963267949</v>
      </c>
      <c r="AW9" s="61" t="str">
        <f t="shared" si="18"/>
        <v>1+1,623463780156i</v>
      </c>
      <c r="AX9" s="61">
        <f t="shared" si="19"/>
        <v>1.90673402588783</v>
      </c>
      <c r="AY9" s="61">
        <f t="shared" si="20"/>
        <v>1.01871908878735</v>
      </c>
      <c r="AZ9" s="61" t="str">
        <f t="shared" si="21"/>
        <v>1+14,1714285714286i</v>
      </c>
      <c r="BA9" s="61">
        <f t="shared" si="22"/>
        <v>14.2066670178161</v>
      </c>
      <c r="BB9" s="61">
        <f t="shared" si="23"/>
        <v>1.50034858382101</v>
      </c>
      <c r="BC9" s="57" t="str">
        <f t="shared" si="24"/>
        <v>-0,116779978797589+0,223423778937093i</v>
      </c>
      <c r="BD9" s="61">
        <f t="shared" si="25"/>
        <v>-11.9684516259305</v>
      </c>
      <c r="BE9" s="64">
        <f t="shared" si="26"/>
        <v>117.595337354445</v>
      </c>
      <c r="BF9" s="57" t="str">
        <f t="shared" si="27"/>
        <v>0,30710538066149-0,0901261610446917i</v>
      </c>
      <c r="BG9" s="63">
        <f t="shared" si="28"/>
        <v>-9.89545524209129</v>
      </c>
      <c r="BH9" s="64">
        <f t="shared" si="29"/>
        <v>-16.3553718699215</v>
      </c>
      <c r="BI9" s="23" t="str">
        <f t="shared" si="47"/>
        <v>1,59798846774253+0,789801007917227i</v>
      </c>
      <c r="BJ9" s="63">
        <f t="shared" si="30"/>
        <v>5.02065436354811</v>
      </c>
      <c r="BK9" s="64">
        <f t="shared" si="31"/>
        <v>26.300746783543</v>
      </c>
      <c r="BL9">
        <f t="shared" si="48"/>
        <v>-9.89545524209129</v>
      </c>
      <c r="BM9">
        <f t="shared" si="49"/>
        <v>-16.3553718699215</v>
      </c>
    </row>
    <row r="10" customFormat="1" ht="15.75" spans="1:68">
      <c r="A10" t="s">
        <v>104</v>
      </c>
      <c r="B10" s="15">
        <f>VIN_min</f>
        <v>3</v>
      </c>
      <c r="C10" t="s">
        <v>7</v>
      </c>
      <c r="E10" t="s">
        <v>105</v>
      </c>
      <c r="N10" s="30" t="s">
        <v>443</v>
      </c>
      <c r="O10" s="65">
        <f>IF(B31=0,B72,wz_esr/(2*PI()))</f>
        <v>795774.715459477</v>
      </c>
      <c r="P10" s="66" t="str">
        <f t="shared" si="32"/>
        <v>15</v>
      </c>
      <c r="Q10" s="42" t="str">
        <f t="shared" si="33"/>
        <v>1+1458,33333333333i</v>
      </c>
      <c r="R10" s="42">
        <f t="shared" si="0"/>
        <v>1458.33367619043</v>
      </c>
      <c r="S10" s="42">
        <f t="shared" si="1"/>
        <v>1.57011061261666</v>
      </c>
      <c r="T10" s="42" t="str">
        <f t="shared" si="34"/>
        <v>1+i</v>
      </c>
      <c r="U10" s="42">
        <f t="shared" si="2"/>
        <v>1.4142135623731</v>
      </c>
      <c r="V10" s="42">
        <f t="shared" si="3"/>
        <v>0.785398163397448</v>
      </c>
      <c r="W10" s="32" t="str">
        <f t="shared" si="35"/>
        <v>1-87,5000000000001i</v>
      </c>
      <c r="X10" s="42">
        <f t="shared" si="4"/>
        <v>87.5057140991376</v>
      </c>
      <c r="Y10" s="42">
        <f t="shared" si="5"/>
        <v>-1.55936825289779</v>
      </c>
      <c r="Z10" s="32" t="str">
        <f t="shared" si="36"/>
        <v>-3,50316371743725+4,64285714285713i</v>
      </c>
      <c r="AA10" s="42">
        <f t="shared" si="6"/>
        <v>5.81620825625667</v>
      </c>
      <c r="AB10" s="42">
        <f t="shared" si="7"/>
        <v>2.21718878867006</v>
      </c>
      <c r="AC10" s="67" t="str">
        <f t="shared" si="8"/>
        <v>-0,0329467082656957+0,21635543671489i</v>
      </c>
      <c r="AD10" s="68">
        <f t="shared" si="9"/>
        <v>-13.1970836631131</v>
      </c>
      <c r="AE10" s="31">
        <f t="shared" si="10"/>
        <v>98.6585089561152</v>
      </c>
      <c r="AF10" s="32" t="str">
        <f t="shared" si="37"/>
        <v>75,4669735059805</v>
      </c>
      <c r="AG10" s="32" t="str">
        <f t="shared" si="11"/>
        <v>1+937,500000000001i</v>
      </c>
      <c r="AH10" s="32">
        <f t="shared" si="38"/>
        <v>937.500533333183</v>
      </c>
      <c r="AI10" s="32">
        <f t="shared" si="39"/>
        <v>1.56972966053277</v>
      </c>
      <c r="AJ10" s="32" t="str">
        <f t="shared" si="12"/>
        <v>1+i</v>
      </c>
      <c r="AK10" s="32">
        <f t="shared" si="40"/>
        <v>1.4142135623731</v>
      </c>
      <c r="AL10" s="32">
        <f t="shared" si="41"/>
        <v>0.785398163397448</v>
      </c>
      <c r="AM10" s="32" t="str">
        <f t="shared" si="13"/>
        <v>1-11,1803398874989i</v>
      </c>
      <c r="AN10" s="32">
        <f t="shared" si="42"/>
        <v>11.2249721603218</v>
      </c>
      <c r="AO10" s="32">
        <f t="shared" si="43"/>
        <v>-1.48159098324735</v>
      </c>
      <c r="AP10" s="30" t="str">
        <f t="shared" si="44"/>
        <v>-0,818451278162101-0,981367294786003i</v>
      </c>
      <c r="AQ10" s="32">
        <f t="shared" si="45"/>
        <v>2.12971361026552</v>
      </c>
      <c r="AR10" s="31">
        <f t="shared" si="46"/>
        <v>-129.827794829743</v>
      </c>
      <c r="AS10" s="32" t="str">
        <f t="shared" si="14"/>
        <v>-0,000338461538461538</v>
      </c>
      <c r="AT10" s="32" t="str">
        <f t="shared" si="15"/>
        <v>0,87527i</v>
      </c>
      <c r="AU10" s="32">
        <f t="shared" si="16"/>
        <v>0.87527</v>
      </c>
      <c r="AV10" s="32">
        <f t="shared" si="17"/>
        <v>1.5707963267949</v>
      </c>
      <c r="AW10" s="32" t="str">
        <f t="shared" si="18"/>
        <v>1+142,05308076365i</v>
      </c>
      <c r="AX10" s="32">
        <f t="shared" si="19"/>
        <v>142.05660053107</v>
      </c>
      <c r="AY10" s="32">
        <f t="shared" si="20"/>
        <v>1.56375682102455</v>
      </c>
      <c r="AZ10" s="32" t="str">
        <f t="shared" si="21"/>
        <v>1+1240i</v>
      </c>
      <c r="BA10" s="32">
        <f t="shared" si="22"/>
        <v>1240.00040322574</v>
      </c>
      <c r="BB10" s="32">
        <f t="shared" si="23"/>
        <v>1.56998987535682</v>
      </c>
      <c r="BC10" s="30" t="str">
        <f t="shared" si="24"/>
        <v>-0,0000210390337431304+0,00337535342363717i</v>
      </c>
      <c r="BD10" s="32">
        <f t="shared" si="25"/>
        <v>-49.4334462055971</v>
      </c>
      <c r="BE10" s="31">
        <f t="shared" si="26"/>
        <v>90.3571277067151</v>
      </c>
      <c r="BF10" s="30" t="str">
        <f t="shared" si="27"/>
        <v>-0,000729582897131192-0,000115758693875745i</v>
      </c>
      <c r="BG10" s="68">
        <f t="shared" si="28"/>
        <v>-62.6305298687102</v>
      </c>
      <c r="BH10" s="31">
        <f t="shared" si="29"/>
        <v>-170.98436333717</v>
      </c>
      <c r="BI10" s="23" t="str">
        <f t="shared" si="47"/>
        <v>0,00332968088235984-0,00274191530419526i</v>
      </c>
      <c r="BJ10" s="68">
        <f t="shared" si="30"/>
        <v>-47.3037325953316</v>
      </c>
      <c r="BK10" s="31">
        <f t="shared" si="31"/>
        <v>-39.4706671230276</v>
      </c>
      <c r="BL10">
        <f t="shared" si="48"/>
        <v>-62.6305298687102</v>
      </c>
      <c r="BM10">
        <f t="shared" si="49"/>
        <v>-170.98436333717</v>
      </c>
    </row>
    <row r="11" customFormat="1" ht="15.75" spans="1:68">
      <c r="A11" t="s">
        <v>106</v>
      </c>
      <c r="B11" s="15">
        <f>VIN_nom</f>
        <v>3.7</v>
      </c>
      <c r="C11" t="s">
        <v>7</v>
      </c>
      <c r="E11" t="s">
        <v>107</v>
      </c>
      <c r="N11" s="69" t="s">
        <v>442</v>
      </c>
      <c r="O11" s="70">
        <f>IF(B31=0,B70,wp_lf/(2*PI()))</f>
        <v>545.674090600784</v>
      </c>
      <c r="P11" s="71" t="str">
        <f t="shared" si="32"/>
        <v>15</v>
      </c>
      <c r="Q11" s="72" t="str">
        <f t="shared" si="33"/>
        <v>1+i</v>
      </c>
      <c r="R11" s="72">
        <f t="shared" si="0"/>
        <v>1.4142135623731</v>
      </c>
      <c r="S11" s="72">
        <f t="shared" si="1"/>
        <v>0.785398163397448</v>
      </c>
      <c r="T11" s="72" t="str">
        <f t="shared" si="34"/>
        <v>1+0,000685714285714286i</v>
      </c>
      <c r="U11" s="72">
        <f t="shared" si="2"/>
        <v>1.00000023510201</v>
      </c>
      <c r="V11" s="72">
        <f t="shared" si="3"/>
        <v>0.000685714178239098</v>
      </c>
      <c r="W11" s="73" t="str">
        <f t="shared" si="35"/>
        <v>1-0,0600000000000001i</v>
      </c>
      <c r="X11" s="72">
        <f t="shared" si="4"/>
        <v>1.00179838290946</v>
      </c>
      <c r="Y11" s="72">
        <f t="shared" si="5"/>
        <v>-0.059928155121208</v>
      </c>
      <c r="Z11" s="73" t="str">
        <f t="shared" si="36"/>
        <v>0,99999788259404+0,00318367346938775i</v>
      </c>
      <c r="AA11" s="72">
        <f t="shared" si="6"/>
        <v>1.00000295048031</v>
      </c>
      <c r="AB11" s="72">
        <f t="shared" si="7"/>
        <v>0.00318366945419377</v>
      </c>
      <c r="AC11" s="74" t="str">
        <f t="shared" si="8"/>
        <v>7,03010019161645-7,96756412832065i</v>
      </c>
      <c r="AD11" s="75">
        <f t="shared" si="9"/>
        <v>20.5271081654609</v>
      </c>
      <c r="AE11" s="76">
        <f t="shared" si="10"/>
        <v>-48.5767526571753</v>
      </c>
      <c r="AF11" s="32" t="str">
        <f t="shared" si="37"/>
        <v>75,4669735059805</v>
      </c>
      <c r="AG11" s="32" t="str">
        <f t="shared" si="11"/>
        <v>1+0,642857142857144i</v>
      </c>
      <c r="AH11" s="32">
        <f t="shared" si="38"/>
        <v>1.18880835550666</v>
      </c>
      <c r="AI11" s="32">
        <f t="shared" si="39"/>
        <v>0.571337479833628</v>
      </c>
      <c r="AJ11" s="32" t="str">
        <f t="shared" si="12"/>
        <v>1+0,000685714285714286i</v>
      </c>
      <c r="AK11" s="32">
        <f t="shared" si="40"/>
        <v>1.00000023510201</v>
      </c>
      <c r="AL11" s="32">
        <f t="shared" si="41"/>
        <v>0.000685714178239098</v>
      </c>
      <c r="AM11" s="32" t="str">
        <f t="shared" si="13"/>
        <v>1-0,00766651877999928i</v>
      </c>
      <c r="AN11" s="32">
        <f t="shared" si="42"/>
        <v>1.00002938732329</v>
      </c>
      <c r="AO11" s="32">
        <f t="shared" si="43"/>
        <v>-0.00766636858411169</v>
      </c>
      <c r="AP11" s="30" t="str">
        <f t="shared" si="44"/>
        <v>53,1596578454018-34,700885945579i</v>
      </c>
      <c r="AQ11" s="32">
        <f t="shared" si="45"/>
        <v>36.0531589880351</v>
      </c>
      <c r="AR11" s="31">
        <f t="shared" si="46"/>
        <v>-33.1351883078036</v>
      </c>
      <c r="AS11" s="73" t="str">
        <f t="shared" si="14"/>
        <v>-0,000338461538461538</v>
      </c>
      <c r="AT11" s="73" t="str">
        <f t="shared" si="15"/>
        <v>0,000600185142857143i</v>
      </c>
      <c r="AU11" s="73">
        <f t="shared" si="16"/>
        <v>0.000600185142857143</v>
      </c>
      <c r="AV11" s="73">
        <f t="shared" si="17"/>
        <v>1.5707963267949</v>
      </c>
      <c r="AW11" s="73" t="str">
        <f t="shared" si="18"/>
        <v>1+0,09740782680936i</v>
      </c>
      <c r="AX11" s="73">
        <f t="shared" si="19"/>
        <v>1.00473294199191</v>
      </c>
      <c r="AY11" s="73">
        <f t="shared" si="20"/>
        <v>0.0971014911556156</v>
      </c>
      <c r="AZ11" s="73" t="str">
        <f t="shared" si="21"/>
        <v>1+0,850285714285714i</v>
      </c>
      <c r="BA11" s="73">
        <f t="shared" si="22"/>
        <v>1.31262553529876</v>
      </c>
      <c r="BB11" s="73">
        <f t="shared" si="23"/>
        <v>0.704659912721525</v>
      </c>
      <c r="BC11" s="69" t="str">
        <f t="shared" si="24"/>
        <v>-0,420578765736681+0,604896215436276i</v>
      </c>
      <c r="BD11" s="73">
        <f t="shared" si="25"/>
        <v>-2.65371418860307</v>
      </c>
      <c r="BE11" s="76">
        <f t="shared" si="26"/>
        <v>124.810533363357</v>
      </c>
      <c r="BF11" s="69" t="str">
        <f t="shared" si="27"/>
        <v>1,86283852587174+7,60346928706358i</v>
      </c>
      <c r="BG11" s="75">
        <f t="shared" si="28"/>
        <v>17.8733939768578</v>
      </c>
      <c r="BH11" s="76">
        <f t="shared" si="29"/>
        <v>76.2337807061813</v>
      </c>
      <c r="BI11" s="23" t="str">
        <f t="shared" si="47"/>
        <v>-1,36738870283676+46,7505316255318i</v>
      </c>
      <c r="BJ11" s="75">
        <f t="shared" si="30"/>
        <v>33.399444799432</v>
      </c>
      <c r="BK11" s="76">
        <f t="shared" si="31"/>
        <v>91.675345055553</v>
      </c>
      <c r="BL11">
        <f t="shared" si="48"/>
        <v>17.8733939768578</v>
      </c>
      <c r="BM11">
        <f t="shared" si="49"/>
        <v>76.2337807061813</v>
      </c>
      <c r="BO11" s="77" t="s">
        <v>460</v>
      </c>
      <c r="BP11" s="77"/>
    </row>
    <row r="12" customFormat="1" ht="15.75" spans="1:68">
      <c r="A12" t="s">
        <v>108</v>
      </c>
      <c r="B12" s="15">
        <f>VIN_max</f>
        <v>9</v>
      </c>
      <c r="C12" t="s">
        <v>7</v>
      </c>
      <c r="E12" t="s">
        <v>109</v>
      </c>
      <c r="N12" s="57" t="s">
        <v>449</v>
      </c>
      <c r="O12" s="64">
        <f>wz_ea/(2*PI())</f>
        <v>641.753802789901</v>
      </c>
      <c r="P12" s="59" t="str">
        <f t="shared" si="32"/>
        <v>15</v>
      </c>
      <c r="Q12" s="60" t="str">
        <f t="shared" si="33"/>
        <v>1+1,1760752688172i</v>
      </c>
      <c r="R12" s="60">
        <f t="shared" si="0"/>
        <v>1.54374642928282</v>
      </c>
      <c r="S12" s="60">
        <f t="shared" si="1"/>
        <v>0.86613641407337</v>
      </c>
      <c r="T12" s="60" t="str">
        <f t="shared" si="34"/>
        <v>1+0,000806451612903226i</v>
      </c>
      <c r="U12" s="60">
        <f t="shared" si="2"/>
        <v>1.00000032518205</v>
      </c>
      <c r="V12" s="60">
        <f t="shared" si="3"/>
        <v>0.000806451438074207</v>
      </c>
      <c r="W12" s="61" t="str">
        <f t="shared" si="35"/>
        <v>1-0,0705645161290323i</v>
      </c>
      <c r="X12" s="60">
        <f t="shared" si="4"/>
        <v>1.00248658391847</v>
      </c>
      <c r="Y12" s="60">
        <f t="shared" si="5"/>
        <v>-0.0704477429738909</v>
      </c>
      <c r="Z12" s="61" t="str">
        <f t="shared" si="36"/>
        <v>0,999997071303514+0,0037442396313364i</v>
      </c>
      <c r="AA12" s="60">
        <f t="shared" si="6"/>
        <v>1.00000408096468</v>
      </c>
      <c r="AB12" s="60">
        <f t="shared" si="7"/>
        <v>0.00374423309985923</v>
      </c>
      <c r="AC12" s="62" t="str">
        <f t="shared" si="8"/>
        <v>5,74873538644317-7,86347121001815i</v>
      </c>
      <c r="AD12" s="63">
        <f t="shared" si="9"/>
        <v>19.7718446224781</v>
      </c>
      <c r="AE12" s="64">
        <f t="shared" si="10"/>
        <v>-53.8306418479771</v>
      </c>
      <c r="AF12" s="32" t="str">
        <f t="shared" si="37"/>
        <v>75,4669735059805</v>
      </c>
      <c r="AG12" s="32" t="str">
        <f t="shared" si="11"/>
        <v>1+0,756048387096775i</v>
      </c>
      <c r="AH12" s="32">
        <f t="shared" si="38"/>
        <v>1.25363837035711</v>
      </c>
      <c r="AI12" s="32">
        <f t="shared" si="39"/>
        <v>0.647360851607528</v>
      </c>
      <c r="AJ12" s="32" t="str">
        <f t="shared" si="12"/>
        <v>1+0,000806451612903226i</v>
      </c>
      <c r="AK12" s="32">
        <f t="shared" si="40"/>
        <v>1.00000032518205</v>
      </c>
      <c r="AL12" s="32">
        <f t="shared" si="41"/>
        <v>0.000806451438074207</v>
      </c>
      <c r="AM12" s="32" t="str">
        <f t="shared" si="13"/>
        <v>1-0,0090164031350798i</v>
      </c>
      <c r="AN12" s="32">
        <f t="shared" si="42"/>
        <v>1.00004064693666</v>
      </c>
      <c r="AO12" s="32">
        <f t="shared" si="43"/>
        <v>-0.00901615881591994</v>
      </c>
      <c r="AP12" s="30" t="str">
        <f t="shared" si="44"/>
        <v>47,7212091769568-36,6991234225555i</v>
      </c>
      <c r="AQ12" s="32">
        <f t="shared" si="45"/>
        <v>35.5920490198561</v>
      </c>
      <c r="AR12" s="31">
        <f t="shared" si="46"/>
        <v>-37.5614262028941</v>
      </c>
      <c r="AS12" s="61" t="str">
        <f t="shared" si="14"/>
        <v>-0,000338461538461538</v>
      </c>
      <c r="AT12" s="61" t="str">
        <f t="shared" si="15"/>
        <v>0,000705862903225806i</v>
      </c>
      <c r="AU12" s="61">
        <f t="shared" si="16"/>
        <v>0.000705862903225806</v>
      </c>
      <c r="AV12" s="61">
        <f t="shared" si="17"/>
        <v>1.5707963267949</v>
      </c>
      <c r="AW12" s="61" t="str">
        <f t="shared" si="18"/>
        <v>1+0,114558936099718i</v>
      </c>
      <c r="AX12" s="61">
        <f t="shared" si="19"/>
        <v>1.00654048594197</v>
      </c>
      <c r="AY12" s="61">
        <f t="shared" si="20"/>
        <v>0.1140616980366</v>
      </c>
      <c r="AZ12" s="61" t="str">
        <f t="shared" si="21"/>
        <v>1+i</v>
      </c>
      <c r="BA12" s="61">
        <f t="shared" si="22"/>
        <v>1.4142135623731</v>
      </c>
      <c r="BB12" s="61">
        <f t="shared" si="23"/>
        <v>0.785398163397448</v>
      </c>
      <c r="BC12" s="57" t="str">
        <f t="shared" si="24"/>
        <v>-0,419069572578542+0,527508555913899i</v>
      </c>
      <c r="BD12" s="61">
        <f t="shared" si="25"/>
        <v>-3.43054568379993</v>
      </c>
      <c r="BE12" s="64">
        <f t="shared" si="26"/>
        <v>128.464746098407</v>
      </c>
      <c r="BF12" s="57" t="str">
        <f t="shared" si="27"/>
        <v>1,73892826120332+6,32784862099974i</v>
      </c>
      <c r="BG12" s="63">
        <f t="shared" si="28"/>
        <v>16.3412989386781</v>
      </c>
      <c r="BH12" s="64">
        <f t="shared" si="29"/>
        <v>74.63410425043</v>
      </c>
      <c r="BI12" s="23" t="str">
        <f t="shared" si="47"/>
        <v>-0,639405132780283+40,5528321060991i</v>
      </c>
      <c r="BJ12" s="63">
        <f t="shared" si="30"/>
        <v>32.1615033360561</v>
      </c>
      <c r="BK12" s="64">
        <f t="shared" si="31"/>
        <v>90.903319895513</v>
      </c>
      <c r="BL12">
        <f t="shared" si="48"/>
        <v>16.3412989386781</v>
      </c>
      <c r="BM12">
        <f t="shared" si="49"/>
        <v>74.63410425043</v>
      </c>
      <c r="BO12" t="s">
        <v>461</v>
      </c>
      <c r="BP12">
        <f>SUM(BO19:BO559)/1000</f>
        <v>3.54813389233575</v>
      </c>
    </row>
    <row r="13" customFormat="1" ht="15.75" spans="1:68">
      <c r="A13" t="s">
        <v>110</v>
      </c>
      <c r="B13" s="15">
        <f>Fsw</f>
        <v>750000</v>
      </c>
      <c r="C13" t="s">
        <v>111</v>
      </c>
      <c r="E13" t="s">
        <v>112</v>
      </c>
      <c r="N13" s="69" t="s">
        <v>448</v>
      </c>
      <c r="O13" s="76">
        <f>wp1_ea/(2*PI())</f>
        <v>5601.95323594212</v>
      </c>
      <c r="P13" s="71" t="str">
        <f t="shared" si="32"/>
        <v>15</v>
      </c>
      <c r="Q13" s="72" t="str">
        <f t="shared" si="33"/>
        <v>1+10,2661154935438i</v>
      </c>
      <c r="R13" s="72">
        <f t="shared" si="0"/>
        <v>10.314704422657</v>
      </c>
      <c r="S13" s="72">
        <f t="shared" si="1"/>
        <v>1.47369483563928</v>
      </c>
      <c r="T13" s="72" t="str">
        <f t="shared" si="34"/>
        <v>1+0,00703962205271574i</v>
      </c>
      <c r="U13" s="72">
        <f t="shared" si="2"/>
        <v>1.00002477783235</v>
      </c>
      <c r="V13" s="72">
        <f t="shared" si="3"/>
        <v>0.00703950577034923</v>
      </c>
      <c r="W13" s="73" t="str">
        <f t="shared" si="35"/>
        <v>1-0,615966929612628i</v>
      </c>
      <c r="X13" s="72">
        <f t="shared" si="4"/>
        <v>1.17448510351405</v>
      </c>
      <c r="Y13" s="72">
        <f t="shared" si="5"/>
        <v>-0.552077238007544</v>
      </c>
      <c r="Z13" s="73" t="str">
        <f t="shared" si="36"/>
        <v>0,999776839964034+0,0326839595304659i</v>
      </c>
      <c r="AA13" s="72">
        <f t="shared" si="6"/>
        <v>1.00031093712858</v>
      </c>
      <c r="AB13" s="72">
        <f t="shared" si="7"/>
        <v>0.0326796164616452</v>
      </c>
      <c r="AC13" s="74" t="str">
        <f t="shared" si="8"/>
        <v>-0,789415111116686-1,51404754284037i</v>
      </c>
      <c r="AD13" s="75">
        <f t="shared" si="9"/>
        <v>4.64715455878489</v>
      </c>
      <c r="AE13" s="76">
        <f t="shared" si="10"/>
        <v>-117.537260204288</v>
      </c>
      <c r="AF13" s="32" t="str">
        <f t="shared" si="37"/>
        <v>75,4669735059805</v>
      </c>
      <c r="AG13" s="32" t="str">
        <f t="shared" si="11"/>
        <v>1+6,59964567442101i</v>
      </c>
      <c r="AH13" s="32">
        <f t="shared" si="38"/>
        <v>6.67497738032901</v>
      </c>
      <c r="AI13" s="32">
        <f t="shared" si="39"/>
        <v>1.4204169467192</v>
      </c>
      <c r="AJ13" s="32" t="str">
        <f t="shared" si="12"/>
        <v>1+0,00703962205271574i</v>
      </c>
      <c r="AK13" s="32">
        <f t="shared" si="40"/>
        <v>1.00002477783235</v>
      </c>
      <c r="AL13" s="32">
        <f t="shared" si="41"/>
        <v>0.00703950577034923</v>
      </c>
      <c r="AM13" s="32" t="str">
        <f t="shared" si="13"/>
        <v>1-0,078705367228895i</v>
      </c>
      <c r="AN13" s="32">
        <f t="shared" si="42"/>
        <v>1.00309248568147</v>
      </c>
      <c r="AO13" s="32">
        <f t="shared" si="43"/>
        <v>-0.0785434542101544</v>
      </c>
      <c r="AP13" s="30" t="str">
        <f t="shared" si="44"/>
        <v>0,893614512823229-11,3059360466507i</v>
      </c>
      <c r="AQ13" s="32">
        <f t="shared" si="45"/>
        <v>21.0931774610736</v>
      </c>
      <c r="AR13" s="31">
        <f t="shared" si="46"/>
        <v>-85.4807706599906</v>
      </c>
      <c r="AS13" s="73" t="str">
        <f t="shared" si="14"/>
        <v>-0,000338461538461538</v>
      </c>
      <c r="AT13" s="73" t="str">
        <f t="shared" si="15"/>
        <v>0,0061615699940805i</v>
      </c>
      <c r="AU13" s="73">
        <f t="shared" si="16"/>
        <v>0.0061615699940805</v>
      </c>
      <c r="AV13" s="73">
        <f t="shared" si="17"/>
        <v>1.5707963267949</v>
      </c>
      <c r="AW13" s="73" t="str">
        <f t="shared" si="18"/>
        <v>1+i</v>
      </c>
      <c r="AX13" s="73">
        <f t="shared" si="19"/>
        <v>1.4142135623731</v>
      </c>
      <c r="AY13" s="73">
        <f t="shared" si="20"/>
        <v>0.785398163397448</v>
      </c>
      <c r="AZ13" s="73" t="str">
        <f t="shared" si="21"/>
        <v>1+8,72913134536752i</v>
      </c>
      <c r="BA13" s="73">
        <f t="shared" si="22"/>
        <v>8.78622410621752</v>
      </c>
      <c r="BB13" s="73">
        <f t="shared" si="23"/>
        <v>1.4567346287583</v>
      </c>
      <c r="BC13" s="69" t="str">
        <f t="shared" si="24"/>
        <v>-0,212284668407372+0,267215723120165i</v>
      </c>
      <c r="BD13" s="73">
        <f t="shared" si="25"/>
        <v>-9.33789567130883</v>
      </c>
      <c r="BE13" s="76">
        <f t="shared" si="26"/>
        <v>128.464746098407</v>
      </c>
      <c r="BF13" s="69" t="str">
        <f t="shared" si="27"/>
        <v>0,572158034097573+0,110464950825834i</v>
      </c>
      <c r="BG13" s="75">
        <f t="shared" si="28"/>
        <v>-4.69074111252394</v>
      </c>
      <c r="BH13" s="76">
        <f t="shared" si="29"/>
        <v>10.9274858941196</v>
      </c>
      <c r="BI13" s="23" t="str">
        <f t="shared" si="47"/>
        <v>2,83142321571741+2,63886473293293i</v>
      </c>
      <c r="BJ13" s="75">
        <f t="shared" si="30"/>
        <v>11.7552817897647</v>
      </c>
      <c r="BK13" s="76">
        <f t="shared" si="31"/>
        <v>42.9839754384166</v>
      </c>
      <c r="BL13">
        <f t="shared" si="48"/>
        <v>-4.69074111252394</v>
      </c>
      <c r="BM13">
        <f t="shared" si="49"/>
        <v>10.9274858941196</v>
      </c>
    </row>
    <row r="14" customFormat="1" spans="1:68">
      <c r="B14" s="13"/>
      <c r="O14" s="18"/>
      <c r="BO14" t="s">
        <v>462</v>
      </c>
      <c r="BP14" s="78">
        <f>SUM(BP19:BP559)</f>
        <v>33.898511271649</v>
      </c>
    </row>
    <row r="15" ht="15.75" spans="1:68">
      <c r="A15" s="79" t="s">
        <v>463</v>
      </c>
      <c r="O15" s="18" t="s">
        <v>464</v>
      </c>
      <c r="P15">
        <f>B16</f>
        <v>4</v>
      </c>
      <c r="Q15" t="s">
        <v>7</v>
      </c>
      <c r="BO15" s="80"/>
      <c r="BP15" s="80"/>
    </row>
    <row r="16" ht="15.75" spans="1:68">
      <c r="A16" t="s">
        <v>431</v>
      </c>
      <c r="B16">
        <v>4</v>
      </c>
      <c r="C16" t="s">
        <v>7</v>
      </c>
      <c r="E16" t="s">
        <v>465</v>
      </c>
      <c r="O16" s="81"/>
      <c r="P16" s="25" t="s">
        <v>466</v>
      </c>
      <c r="Q16" s="25"/>
      <c r="R16" s="25"/>
      <c r="S16" s="25"/>
      <c r="T16" s="25"/>
      <c r="U16" s="25"/>
      <c r="V16" s="25"/>
      <c r="W16" s="25"/>
      <c r="X16" s="25"/>
      <c r="Y16" s="25"/>
      <c r="Z16" s="25"/>
      <c r="AA16" s="25"/>
      <c r="AB16" s="25"/>
      <c r="AC16" s="25"/>
      <c r="AD16" s="25"/>
      <c r="AE16" s="26"/>
      <c r="AF16" s="27" t="s">
        <v>467</v>
      </c>
      <c r="AG16" s="25"/>
      <c r="AH16" s="25"/>
      <c r="AI16" s="25"/>
      <c r="AJ16" s="25"/>
      <c r="AK16" s="25"/>
      <c r="AL16" s="25"/>
      <c r="AM16" s="25"/>
      <c r="AN16" s="25"/>
      <c r="AO16" s="25"/>
      <c r="AP16" s="25"/>
      <c r="AQ16" s="25"/>
      <c r="AR16" s="26"/>
      <c r="AS16" s="27" t="s">
        <v>438</v>
      </c>
      <c r="AT16" s="25"/>
      <c r="AU16" s="25"/>
      <c r="AV16" s="25"/>
      <c r="AW16" s="25"/>
      <c r="AX16" s="25"/>
      <c r="AY16" s="25"/>
      <c r="AZ16" s="25"/>
      <c r="BA16" s="25"/>
      <c r="BB16" s="25"/>
      <c r="BC16" s="25"/>
      <c r="BD16" s="25"/>
      <c r="BE16" s="26"/>
      <c r="BF16" s="27" t="s">
        <v>439</v>
      </c>
      <c r="BG16" s="25"/>
      <c r="BH16" s="26"/>
      <c r="BI16" s="27" t="s">
        <v>440</v>
      </c>
      <c r="BJ16" s="25"/>
      <c r="BK16" s="26"/>
      <c r="BL16" s="27" t="s">
        <v>441</v>
      </c>
      <c r="BM16" s="26"/>
      <c r="BO16" s="80"/>
      <c r="BP16" s="80"/>
    </row>
    <row r="17" spans="1:68">
      <c r="A17" t="s">
        <v>468</v>
      </c>
      <c r="B17">
        <f>IOUT</f>
        <v>2</v>
      </c>
      <c r="C17" t="s">
        <v>12</v>
      </c>
      <c r="E17" t="s">
        <v>469</v>
      </c>
      <c r="O17" s="82"/>
      <c r="P17" s="32"/>
      <c r="Q17" s="33" t="s">
        <v>442</v>
      </c>
      <c r="R17" s="33"/>
      <c r="S17" s="33"/>
      <c r="T17" s="34" t="s">
        <v>443</v>
      </c>
      <c r="U17" s="34"/>
      <c r="V17" s="34"/>
      <c r="W17" s="34" t="s">
        <v>446</v>
      </c>
      <c r="X17" s="34"/>
      <c r="Y17" s="34"/>
      <c r="Z17" s="34" t="s">
        <v>444</v>
      </c>
      <c r="AA17" s="34"/>
      <c r="AB17" s="34"/>
      <c r="AC17" s="35" t="s">
        <v>445</v>
      </c>
      <c r="AD17" s="34"/>
      <c r="AE17" s="36"/>
      <c r="AF17" s="34"/>
      <c r="AG17" s="33" t="s">
        <v>442</v>
      </c>
      <c r="AH17" s="33"/>
      <c r="AI17" s="33"/>
      <c r="AJ17" s="37" t="s">
        <v>443</v>
      </c>
      <c r="AK17" s="37"/>
      <c r="AL17" s="37"/>
      <c r="AM17" s="34" t="s">
        <v>446</v>
      </c>
      <c r="AN17" s="34"/>
      <c r="AO17" s="34"/>
      <c r="AP17" s="38" t="s">
        <v>445</v>
      </c>
      <c r="AQ17" s="37"/>
      <c r="AR17" s="39"/>
      <c r="AS17" s="32"/>
      <c r="AT17" s="34" t="s">
        <v>447</v>
      </c>
      <c r="AU17" s="34"/>
      <c r="AV17" s="34"/>
      <c r="AW17" s="34" t="s">
        <v>448</v>
      </c>
      <c r="AX17" s="34"/>
      <c r="AY17" s="34"/>
      <c r="AZ17" s="34" t="s">
        <v>449</v>
      </c>
      <c r="BA17" s="34"/>
      <c r="BB17" s="34"/>
      <c r="BC17" s="35" t="s">
        <v>445</v>
      </c>
      <c r="BD17" s="34"/>
      <c r="BE17" s="36"/>
      <c r="BF17" s="35" t="s">
        <v>445</v>
      </c>
      <c r="BG17" s="34"/>
      <c r="BH17" s="36"/>
      <c r="BI17" s="35" t="s">
        <v>445</v>
      </c>
      <c r="BJ17" s="34"/>
      <c r="BK17" s="36"/>
      <c r="BL17" s="32"/>
      <c r="BM17" s="31"/>
      <c r="BO17" s="80"/>
      <c r="BP17" s="80"/>
    </row>
    <row r="18" ht="15.75" spans="1:68">
      <c r="A18" t="s">
        <v>470</v>
      </c>
      <c r="B18">
        <f>VOUT/(VOUT+VIN_var)</f>
        <v>0.714285714285714</v>
      </c>
      <c r="N18" s="7"/>
      <c r="O18" s="83" t="s">
        <v>471</v>
      </c>
      <c r="P18" s="72" t="s">
        <v>450</v>
      </c>
      <c r="Q18" s="73" t="s">
        <v>451</v>
      </c>
      <c r="R18" s="72" t="s">
        <v>452</v>
      </c>
      <c r="S18" s="72" t="s">
        <v>453</v>
      </c>
      <c r="T18" s="72" t="s">
        <v>451</v>
      </c>
      <c r="U18" s="72" t="s">
        <v>452</v>
      </c>
      <c r="V18" s="72" t="s">
        <v>453</v>
      </c>
      <c r="W18" s="49" t="s">
        <v>451</v>
      </c>
      <c r="X18" s="72" t="s">
        <v>452</v>
      </c>
      <c r="Y18" s="72" t="s">
        <v>453</v>
      </c>
      <c r="Z18" s="49" t="s">
        <v>451</v>
      </c>
      <c r="AA18" s="49" t="s">
        <v>452</v>
      </c>
      <c r="AB18" s="49" t="s">
        <v>453</v>
      </c>
      <c r="AC18" s="48" t="s">
        <v>454</v>
      </c>
      <c r="AD18" s="49" t="s">
        <v>452</v>
      </c>
      <c r="AE18" s="50" t="s">
        <v>453</v>
      </c>
      <c r="AF18" s="84" t="s">
        <v>450</v>
      </c>
      <c r="AG18" s="47" t="s">
        <v>451</v>
      </c>
      <c r="AH18" s="47" t="s">
        <v>455</v>
      </c>
      <c r="AI18" s="47" t="s">
        <v>453</v>
      </c>
      <c r="AJ18" s="47" t="s">
        <v>451</v>
      </c>
      <c r="AK18" s="47" t="s">
        <v>455</v>
      </c>
      <c r="AL18" s="47" t="s">
        <v>453</v>
      </c>
      <c r="AM18" s="47" t="s">
        <v>451</v>
      </c>
      <c r="AN18" s="47" t="s">
        <v>455</v>
      </c>
      <c r="AO18" s="47" t="s">
        <v>453</v>
      </c>
      <c r="AP18" s="48" t="s">
        <v>454</v>
      </c>
      <c r="AQ18" s="49" t="s">
        <v>452</v>
      </c>
      <c r="AR18" s="50" t="s">
        <v>453</v>
      </c>
      <c r="AS18" s="72" t="s">
        <v>456</v>
      </c>
      <c r="AT18" s="49" t="s">
        <v>451</v>
      </c>
      <c r="AU18" s="49" t="s">
        <v>455</v>
      </c>
      <c r="AV18" s="49" t="s">
        <v>453</v>
      </c>
      <c r="AW18" s="49" t="s">
        <v>451</v>
      </c>
      <c r="AX18" s="49" t="s">
        <v>455</v>
      </c>
      <c r="AY18" s="49" t="s">
        <v>453</v>
      </c>
      <c r="AZ18" s="49" t="s">
        <v>451</v>
      </c>
      <c r="BA18" s="49" t="s">
        <v>455</v>
      </c>
      <c r="BB18" s="49" t="s">
        <v>453</v>
      </c>
      <c r="BC18" s="48" t="s">
        <v>454</v>
      </c>
      <c r="BD18" s="49" t="s">
        <v>452</v>
      </c>
      <c r="BE18" s="50" t="s">
        <v>453</v>
      </c>
      <c r="BF18" s="48" t="s">
        <v>454</v>
      </c>
      <c r="BG18" s="49" t="s">
        <v>452</v>
      </c>
      <c r="BH18" s="50" t="s">
        <v>453</v>
      </c>
      <c r="BI18" s="48" t="s">
        <v>454</v>
      </c>
      <c r="BJ18" s="49" t="s">
        <v>452</v>
      </c>
      <c r="BK18" s="50" t="s">
        <v>453</v>
      </c>
      <c r="BL18" s="43" t="s">
        <v>472</v>
      </c>
      <c r="BM18" s="45" t="s">
        <v>473</v>
      </c>
      <c r="BO18" s="80" t="s">
        <v>474</v>
      </c>
      <c r="BP18" s="80" t="s">
        <v>475</v>
      </c>
    </row>
    <row r="19" spans="1:68">
      <c r="A19" t="s">
        <v>115</v>
      </c>
      <c r="B19" s="85">
        <f>VOUT</f>
        <v>10</v>
      </c>
      <c r="C19" t="s">
        <v>7</v>
      </c>
      <c r="E19" t="s">
        <v>476</v>
      </c>
      <c r="N19" s="7">
        <v>1</v>
      </c>
      <c r="O19" s="18">
        <f>10^(1+(N19/100))</f>
        <v>10.2329299228075</v>
      </c>
      <c r="P19" s="86" t="str">
        <f t="shared" ref="P19:P82" si="50">COMPLEX(Adc,0)</f>
        <v>15</v>
      </c>
      <c r="Q19" s="4" t="str">
        <f t="shared" ref="Q19:Q82" si="51">IMSUM(COMPLEX(1,0),IMDIV(COMPLEX(0,2*PI()*O19),COMPLEX(wp_lf,0)))</f>
        <v>1+0,0187528235242783i</v>
      </c>
      <c r="R19" s="4">
        <f>IMABS(Q19)</f>
        <v>1.00017581873895</v>
      </c>
      <c r="S19" s="4">
        <f>IMARGUMENT(Q19)</f>
        <v>0.0187506257295769</v>
      </c>
      <c r="T19" s="4" t="str">
        <f t="shared" ref="T19:T82" si="52">IMSUM(COMPLEX(1,0),IMDIV(COMPLEX(0,2*PI()*O19),COMPLEX(wz_esr,0)))</f>
        <v>1+0,0000128590789880765i</v>
      </c>
      <c r="U19" s="4">
        <f>IMABS(T19)</f>
        <v>1.00000000008268</v>
      </c>
      <c r="V19" s="4">
        <f>IMARGUMENT(T19)</f>
        <v>1.28590789873677e-5</v>
      </c>
      <c r="W19" t="str">
        <f t="shared" ref="W19:W82" si="53">IMSUB(COMPLEX(1,0),IMDIV(COMPLEX(0,2*PI()*O19),COMPLEX(wz_rhp,0)))</f>
        <v>1-0,0011251694114567i</v>
      </c>
      <c r="X19" s="4">
        <f>IMABS(W19)</f>
        <v>1.0000006330029</v>
      </c>
      <c r="Y19" s="4">
        <f>IMARGUMENT(W19)</f>
        <v>-0.00112516893663324</v>
      </c>
      <c r="Z19" t="str">
        <f t="shared" ref="Z19:Z82" si="54">IMSUM(COMPLEX(1,0),IMDIV(COMPLEX(0,2*PI()*O19),COMPLEX(Q*(wsl/2),0)),IMDIV(IMPOWER(COMPLEX(0,2*PI()*O19),2),IMPOWER(COMPLEX(wsl/2,0),2)))</f>
        <v>0,999999999255375+0,0000597028667303552i</v>
      </c>
      <c r="AA19" s="4">
        <f>IMABS(Z19)</f>
        <v>1.00000000103759</v>
      </c>
      <c r="AB19" s="4">
        <f>IMARGUMENT(Z19)</f>
        <v>5.97028667038758e-5</v>
      </c>
      <c r="AC19" s="67" t="str">
        <f>(IMDIV(IMPRODUCT(P19,T19,W19),IMPRODUCT(Q19,Z19)))</f>
        <v>14,9943964450022-0,298767468338228i</v>
      </c>
      <c r="AD19" s="68">
        <f>20*LOG(IMABS(AC19))</f>
        <v>23.5203036630825</v>
      </c>
      <c r="AE19" s="31">
        <f>(180/PI())*IMARGUMENT(AC19)</f>
        <v>-1.14148310017503</v>
      </c>
      <c r="AF19" s="32" t="str">
        <f>COMPLEX($B$68,0)</f>
        <v>75,4669735059805</v>
      </c>
      <c r="AG19" s="32" t="str">
        <f t="shared" ref="AG19:AG82" si="55">IMSUM(COMPLEX(1,0),IMDIV(COMPLEX(0,2*PI()*O19),COMPLEX(wp_lf_DCM,0)))</f>
        <v>1+0,0120553865513218i</v>
      </c>
      <c r="AH19" s="32">
        <f>IMABS(AG19)</f>
        <v>1.00007266353246</v>
      </c>
      <c r="AI19" s="32">
        <f>IMARGUMENT(AG19)</f>
        <v>0.01205480258971</v>
      </c>
      <c r="AJ19" s="32" t="str">
        <f t="shared" ref="AJ19:AJ82" si="56">IMSUM(COMPLEX(1,0),IMDIV(COMPLEX(0,2*PI()*O19),COMPLEX(wz1_dcm,0)))</f>
        <v>1+0,0000128590789880765i</v>
      </c>
      <c r="AK19" s="32">
        <f>IMABS(AJ19)</f>
        <v>1.00000000008268</v>
      </c>
      <c r="AL19" s="32">
        <f>IMARGUMENT(AJ19)</f>
        <v>1.28590789873677e-5</v>
      </c>
      <c r="AM19" s="32" t="str">
        <f t="shared" ref="AM19:AM82" si="57">IMSUB(COMPLEX(1,0),IMDIV(COMPLEX(0,2*PI()*O19),COMPLEX(wz2_dcm,0)))</f>
        <v>1-0,000143768873726892i</v>
      </c>
      <c r="AN19" s="32">
        <f>IMABS(AM19)</f>
        <v>1.00000001033474</v>
      </c>
      <c r="AO19" s="32">
        <f>IMARGUMENT(AM19)</f>
        <v>-0.000143768872736349</v>
      </c>
      <c r="AP19" s="30" t="str">
        <f>(IMDIV(IMPRODUCT(AF19,AJ19,AM19),IMPRODUCT(AG19)))</f>
        <v>75,4558883647301-0,919529267821434i</v>
      </c>
      <c r="AQ19" s="32">
        <f>20*LOG(IMABS(AP19))</f>
        <v>37.5545076377391</v>
      </c>
      <c r="AR19" s="31">
        <f>(180/PI())*IMARGUMENT(AP19)</f>
        <v>-0.698189889932502</v>
      </c>
      <c r="AS19" t="str">
        <f t="shared" ref="AS19:AS82" si="58">COMPLEX(Adc_ea,0)</f>
        <v>-0,000338461538461538</v>
      </c>
      <c r="AT19" t="str">
        <f t="shared" ref="AT19:AT82" si="59">COMPLEX(0,2*PI()*O19*wp0_ea)</f>
        <v>0,0000112551660658938i</v>
      </c>
      <c r="AU19">
        <f>IMABS(AT19)</f>
        <v>1.12551660658938e-5</v>
      </c>
      <c r="AV19">
        <f>IMARGUMENT(AT19)</f>
        <v>1.5707963267949</v>
      </c>
      <c r="AW19" t="str">
        <f t="shared" ref="AW19:AW82" si="60">IMSUM(COMPLEX(1,0),IMDIV(COMPLEX(0,2*PI()*O19),COMPLEX(wp1_ea,0)))</f>
        <v>1+0,00182667178603939i</v>
      </c>
      <c r="AX19">
        <f>IMABS(AW19)</f>
        <v>1.00000166836352</v>
      </c>
      <c r="AY19">
        <f>IMARGUMENT(AW19)</f>
        <v>0.00182666975434005</v>
      </c>
      <c r="AZ19" t="str">
        <f t="shared" ref="AZ19:AZ82" si="61">IMSUM(COMPLEX(1,0),IMDIV(COMPLEX(0,2*PI()*O19),COMPLEX(wz_ea,0)))</f>
        <v>1+0,0159452579452149i</v>
      </c>
      <c r="BA19">
        <f>IMABS(AZ19)</f>
        <v>1.00012711754603</v>
      </c>
      <c r="BB19">
        <f>IMARGUMENT(AZ19)</f>
        <v>0.0159439067840699</v>
      </c>
      <c r="BC19" s="30" t="str">
        <f>IMPRODUCT(AS19,IMDIV(AZ19,IMPRODUCT(AT19,AW19)))</f>
        <v>-0,424567920146303+30,0724365488421i</v>
      </c>
      <c r="BD19" s="32">
        <f>20*LOG(IMABS(BC19))</f>
        <v>29.5642379063544</v>
      </c>
      <c r="BE19" s="31">
        <f>(180/PI())*IMARGUMENT(BC19)</f>
        <v>90.8088581001893</v>
      </c>
      <c r="BF19" s="30" t="str">
        <f>IMPRODUCT(AC19,BC19)</f>
        <v>2,61852602195585+451,044882763152i</v>
      </c>
      <c r="BG19" s="68">
        <f>20*LOG(IMABS(BF19))</f>
        <v>53.0845415694369</v>
      </c>
      <c r="BH19" s="31">
        <f>(180/PI())*IMARGUMENT(BF19)</f>
        <v>89.6673750000143</v>
      </c>
      <c r="BI19" s="30" t="str">
        <f>IMPRODUCT(AP19,BC19)</f>
        <v>-4,38366402444178+2269,53281771361i</v>
      </c>
      <c r="BJ19" s="68">
        <f>20*LOG(IMABS(BI19))</f>
        <v>67.1187455440935</v>
      </c>
      <c r="BK19" s="31">
        <f>(180/PI())*IMARGUMENT(BI19)</f>
        <v>90.1106682102568</v>
      </c>
      <c r="BL19" s="32">
        <f>IF($B$31=0,BJ19,BG19)</f>
        <v>53.0845415694369</v>
      </c>
      <c r="BM19" s="31">
        <f>IF($B$31=0,BK19,BH19)</f>
        <v>89.6673750000143</v>
      </c>
      <c r="BO19">
        <f>SUM((BL20&lt;0)*(BL19&gt;0))*O19</f>
        <v>0</v>
      </c>
      <c r="BP19">
        <f>IF(BO19&gt;0,BM19,0)</f>
        <v>0</v>
      </c>
    </row>
    <row r="20" spans="1:68">
      <c r="A20" t="s">
        <v>117</v>
      </c>
      <c r="B20" s="85">
        <f>IOUT</f>
        <v>2</v>
      </c>
      <c r="C20" t="s">
        <v>12</v>
      </c>
      <c r="E20" t="s">
        <v>118</v>
      </c>
      <c r="N20" s="7">
        <v>2</v>
      </c>
      <c r="O20" s="18">
        <f t="shared" ref="O20:O83" si="62">10^(1+(N20/100))</f>
        <v>10.471285480509</v>
      </c>
      <c r="P20" s="86" t="str">
        <f t="shared" si="50"/>
        <v>15</v>
      </c>
      <c r="Q20" s="4" t="str">
        <f t="shared" si="51"/>
        <v>1+0,0191896328978716i</v>
      </c>
      <c r="R20" s="4">
        <f t="shared" ref="R20:R83" si="63">IMABS(Q20)</f>
        <v>1.00018410405823</v>
      </c>
      <c r="S20" s="4">
        <f t="shared" ref="S20:S83" si="64">IMARGUMENT(Q20)</f>
        <v>0.0191872779418313</v>
      </c>
      <c r="T20" s="4" t="str">
        <f t="shared" si="52"/>
        <v>1+0,0000131586054156834i</v>
      </c>
      <c r="U20" s="4">
        <f t="shared" ref="U20:U83" si="65">IMABS(T20)</f>
        <v>1.00000000008657</v>
      </c>
      <c r="V20" s="4">
        <f t="shared" ref="V20:V83" si="66">IMARGUMENT(T20)</f>
        <v>1.31586054149239e-5</v>
      </c>
      <c r="W20" t="str">
        <f t="shared" si="53"/>
        <v>1-0,0011513779738723i</v>
      </c>
      <c r="X20" s="4">
        <f t="shared" ref="X20:X83" si="67">IMABS(W20)</f>
        <v>1.0000006628354</v>
      </c>
      <c r="Y20" s="4">
        <f t="shared" ref="Y20:Y83" si="68">IMARGUMENT(W20)</f>
        <v>-0.00115137746508982</v>
      </c>
      <c r="Z20" t="str">
        <f t="shared" si="54"/>
        <v>0,999999999220282+0,0000610935251442443i</v>
      </c>
      <c r="AA20" s="4">
        <f t="shared" ref="AA20:AA83" si="69">IMABS(Z20)</f>
        <v>1.00000000108649</v>
      </c>
      <c r="AB20" s="4">
        <f t="shared" ref="AB20:AB83" si="70">IMARGUMENT(Z20)</f>
        <v>6.10935251158711e-5</v>
      </c>
      <c r="AC20" s="67" t="str">
        <f t="shared" ref="AC20:AC83" si="71">(IMDIV(IMPRODUCT(P20,T20,W20),IMPRODUCT(Q20,Z20)))</f>
        <v>14,9941324548036-0,305721590795235i</v>
      </c>
      <c r="AD20" s="68">
        <f t="shared" ref="AD20:AD83" si="72">20*LOG(IMABS(AC20))</f>
        <v>23.520231969393</v>
      </c>
      <c r="AE20" s="31">
        <f t="shared" ref="AE20:AE83" si="73">(180/PI())*IMARGUMENT(AC20)</f>
        <v>-1.16806558437767</v>
      </c>
      <c r="AF20" s="32" t="str">
        <f t="shared" ref="AF20:AF83" si="74">COMPLEX($B$68,0)</f>
        <v>75,4669735059805</v>
      </c>
      <c r="AG20" s="32" t="str">
        <f t="shared" si="55"/>
        <v>1+0,0123361925772032i</v>
      </c>
      <c r="AH20" s="32">
        <f t="shared" ref="AH20:AH83" si="75">IMABS(AG20)</f>
        <v>1.00007608792896</v>
      </c>
      <c r="AI20" s="32">
        <f t="shared" ref="AI20:AI83" si="76">IMARGUMENT(AG20)</f>
        <v>0.0123355668536338</v>
      </c>
      <c r="AJ20" s="32" t="str">
        <f t="shared" si="56"/>
        <v>1+0,0000131586054156834i</v>
      </c>
      <c r="AK20" s="32">
        <f t="shared" ref="AK20:AK83" si="77">IMABS(AJ20)</f>
        <v>1.00000000008657</v>
      </c>
      <c r="AL20" s="32">
        <f t="shared" ref="AL20:AL83" si="78">IMARGUMENT(AJ20)</f>
        <v>1.31586054149239e-5</v>
      </c>
      <c r="AM20" s="32" t="str">
        <f t="shared" si="57"/>
        <v>1-0,000147117680992825i</v>
      </c>
      <c r="AN20" s="32">
        <f t="shared" ref="AN20:AN83" si="79">IMABS(AM20)</f>
        <v>1.00000001082181</v>
      </c>
      <c r="AO20" s="32">
        <f t="shared" ref="AO20:AO83" si="80">IMARGUMENT(AM20)</f>
        <v>-0.000147117679931439</v>
      </c>
      <c r="AP20" s="30" t="str">
        <f t="shared" ref="AP20:AP83" si="81">(IMDIV(IMPRODUCT(AF20,AJ20,AM20),IMPRODUCT(AG20)))</f>
        <v>75,4553660176097-0,940941412184053i</v>
      </c>
      <c r="AQ20" s="32">
        <f t="shared" ref="AQ20:AQ83" si="82">20*LOG(IMABS(AP20))</f>
        <v>37.5544779002854</v>
      </c>
      <c r="AR20" s="31">
        <f t="shared" ref="AR20:AR83" si="83">(180/PI())*IMARGUMENT(AP20)</f>
        <v>-0.714451208211963</v>
      </c>
      <c r="AS20" t="str">
        <f t="shared" si="58"/>
        <v>-0,000338461538461538</v>
      </c>
      <c r="AT20" t="str">
        <f t="shared" si="59"/>
        <v>0,0000115173325621852i</v>
      </c>
      <c r="AU20">
        <f t="shared" ref="AU20:AU83" si="84">IMABS(AT20)</f>
        <v>1.15173325621852e-5</v>
      </c>
      <c r="AV20">
        <f t="shared" ref="AV20:AV83" si="85">IMARGUMENT(AT20)</f>
        <v>1.5707963267949</v>
      </c>
      <c r="AW20" t="str">
        <f t="shared" si="60"/>
        <v>1+0,00186922043785108i</v>
      </c>
      <c r="AX20">
        <f t="shared" ref="AX20:AX83" si="86">IMABS(AW20)</f>
        <v>1.000001746991</v>
      </c>
      <c r="AY20">
        <f t="shared" ref="AY20:AY83" si="87">IMARGUMENT(AW20)</f>
        <v>0.00186921826084623</v>
      </c>
      <c r="AZ20" t="str">
        <f t="shared" si="61"/>
        <v>1+0,0163166707154474i</v>
      </c>
      <c r="BA20">
        <f t="shared" ref="BA20:BA83" si="88">IMABS(AZ20)</f>
        <v>1.00013310801275</v>
      </c>
      <c r="BB20">
        <f t="shared" ref="BB20:BB83" si="89">IMARGUMENT(AZ20)</f>
        <v>0.0163152229306026</v>
      </c>
      <c r="BC20" s="30" t="str">
        <f t="shared" ref="BC20:BC83" si="90">IMPRODUCT(AS20,IMDIV(AZ20,IMPRODUCT(AT20,AW20)))</f>
        <v>-0,424567853381015+29,3879400386161i</v>
      </c>
      <c r="BD20" s="32">
        <f t="shared" ref="BD20:BD83" si="91">20*LOG(IMABS(BC20))</f>
        <v>29.3642892491696</v>
      </c>
      <c r="BE20" s="31">
        <f t="shared" ref="BE20:BE83" si="92">(180/PI())*IMARGUMENT(BC20)</f>
        <v>90.8276950984033</v>
      </c>
      <c r="BF20" s="30" t="str">
        <f t="shared" ref="BF20:BF83" si="93">IMPRODUCT(AC20,BC20)</f>
        <v>2,61850114915412+440,776465072372i</v>
      </c>
      <c r="BG20" s="68">
        <f t="shared" ref="BG20:BG83" si="94">20*LOG(IMABS(BF20))</f>
        <v>52.8845212185626</v>
      </c>
      <c r="BH20" s="31">
        <f t="shared" ref="BH20:BH83" si="95">(180/PI())*IMARGUMENT(BF20)</f>
        <v>89.6596295140257</v>
      </c>
      <c r="BI20" s="30" t="str">
        <f t="shared" ref="BI20:BI49" si="96">IMPRODUCT(AP20,BC20)</f>
        <v>-4,38359297505963+2217,87726559287i</v>
      </c>
      <c r="BJ20" s="68">
        <f t="shared" ref="BJ20:BJ83" si="97">20*LOG(IMABS(BI20))</f>
        <v>66.918767149455</v>
      </c>
      <c r="BK20" s="31">
        <f t="shared" ref="BK20:BK49" si="98">(180/PI())*IMARGUMENT(BI20)</f>
        <v>90.1132438901914</v>
      </c>
      <c r="BL20" s="32">
        <f t="shared" ref="BL20:BL83" si="99">IF($B$31=0,BJ20,BG20)</f>
        <v>52.8845212185626</v>
      </c>
      <c r="BM20" s="31">
        <f t="shared" ref="BM20:BM83" si="100">IF($B$31=0,BK20,BH20)</f>
        <v>89.6596295140257</v>
      </c>
      <c r="BO20">
        <f t="shared" ref="BO20:BO83" si="101">SUM((BL21&lt;0)*(BL20&gt;0))*O20</f>
        <v>0</v>
      </c>
      <c r="BP20">
        <f t="shared" ref="BP20:BP83" si="102">IF(BO20&gt;0,BM20,0)</f>
        <v>0</v>
      </c>
    </row>
    <row r="21" customFormat="1" spans="1:68">
      <c r="N21" s="7">
        <v>3</v>
      </c>
      <c r="O21" s="18">
        <f t="shared" si="62"/>
        <v>10.7151930523761</v>
      </c>
      <c r="P21" s="86" t="str">
        <f t="shared" si="50"/>
        <v>15</v>
      </c>
      <c r="Q21" s="4" t="str">
        <f t="shared" si="51"/>
        <v>1+0,0196366168688323i</v>
      </c>
      <c r="R21" s="4">
        <f t="shared" si="63"/>
        <v>1.00019277977901</v>
      </c>
      <c r="S21" s="4">
        <f t="shared" si="64"/>
        <v>0.0196340935142393</v>
      </c>
      <c r="T21" s="4" t="str">
        <f t="shared" si="52"/>
        <v>1+0,0000134651087100564i</v>
      </c>
      <c r="U21" s="4">
        <f t="shared" si="65"/>
        <v>1.00000000009065</v>
      </c>
      <c r="V21" s="4">
        <f t="shared" si="66"/>
        <v>1.34651087092426e-5</v>
      </c>
      <c r="W21" t="str">
        <f t="shared" si="53"/>
        <v>1-0,00117819701212994i</v>
      </c>
      <c r="X21" s="4">
        <f t="shared" si="67"/>
        <v>1.00000069407386</v>
      </c>
      <c r="Y21" s="4">
        <f t="shared" si="68"/>
        <v>-0.00117819646695971</v>
      </c>
      <c r="Z21" t="str">
        <f t="shared" si="54"/>
        <v>0,999999999183535+0,0000625165761538332i</v>
      </c>
      <c r="AA21" s="4">
        <f t="shared" si="69"/>
        <v>1.0000000011377</v>
      </c>
      <c r="AB21" s="4">
        <f t="shared" si="70"/>
        <v>6.25165761234308e-5</v>
      </c>
      <c r="AC21" s="67" t="str">
        <f t="shared" si="71"/>
        <v>14,9938560325055-0,312837333449071i</v>
      </c>
      <c r="AD21" s="68">
        <f t="shared" si="72"/>
        <v>23.5201568981618</v>
      </c>
      <c r="AE21" s="31">
        <f t="shared" si="73"/>
        <v>-1.19526681998687</v>
      </c>
      <c r="AF21" s="32" t="str">
        <f t="shared" si="74"/>
        <v>75,4669735059805</v>
      </c>
      <c r="AG21" s="32" t="str">
        <f t="shared" si="55"/>
        <v>1+0,0126235394156779i</v>
      </c>
      <c r="AH21" s="32">
        <f t="shared" si="75"/>
        <v>1.00007967369974</v>
      </c>
      <c r="AI21" s="32">
        <f t="shared" si="76"/>
        <v>0.0126228689436784</v>
      </c>
      <c r="AJ21" s="32" t="str">
        <f t="shared" si="56"/>
        <v>1+0,0000134651087100564i</v>
      </c>
      <c r="AK21" s="32">
        <f t="shared" si="77"/>
        <v>1.00000000009065</v>
      </c>
      <c r="AL21" s="32">
        <f t="shared" si="78"/>
        <v>1.34651087092426e-5</v>
      </c>
      <c r="AM21" s="32" t="str">
        <f t="shared" si="57"/>
        <v>1-0,000150544492000553i</v>
      </c>
      <c r="AN21" s="32">
        <f t="shared" si="79"/>
        <v>1.00000001133182</v>
      </c>
      <c r="AO21" s="32">
        <f t="shared" si="80"/>
        <v>-0.000150544490863257</v>
      </c>
      <c r="AP21" s="30" t="str">
        <f t="shared" si="81"/>
        <v>75,4548190606958-0,962851848702538i</v>
      </c>
      <c r="AQ21" s="32">
        <f t="shared" si="82"/>
        <v>37.554446761567</v>
      </c>
      <c r="AR21" s="31">
        <f t="shared" si="83"/>
        <v>-0.731091185875217</v>
      </c>
      <c r="AS21" t="str">
        <f t="shared" si="58"/>
        <v>-0,000338461538461538</v>
      </c>
      <c r="AT21" t="str">
        <f t="shared" si="59"/>
        <v>0,0000117856057006511i</v>
      </c>
      <c r="AU21">
        <f t="shared" si="84"/>
        <v>1.17856057006511e-5</v>
      </c>
      <c r="AV21">
        <f t="shared" si="85"/>
        <v>1.5707963267949</v>
      </c>
      <c r="AW21" t="str">
        <f t="shared" si="60"/>
        <v>1+0,00191276017508097i</v>
      </c>
      <c r="AX21">
        <f t="shared" si="86"/>
        <v>1.00000182932407</v>
      </c>
      <c r="AY21">
        <f t="shared" si="87"/>
        <v>0.00191275784237847</v>
      </c>
      <c r="AZ21" t="str">
        <f t="shared" si="61"/>
        <v>1+0,01669673480047i</v>
      </c>
      <c r="BA21">
        <f t="shared" si="88"/>
        <v>1.000139380763</v>
      </c>
      <c r="BB21">
        <f t="shared" si="89"/>
        <v>0.0166951834827352</v>
      </c>
      <c r="BC21" s="30" t="str">
        <f t="shared" si="90"/>
        <v>-0,424567783469191+28,7190254031819i</v>
      </c>
      <c r="BD21" s="32">
        <f t="shared" si="91"/>
        <v>29.1643430110291</v>
      </c>
      <c r="BE21" s="31">
        <f t="shared" si="92"/>
        <v>90.8469706001584</v>
      </c>
      <c r="BF21" s="30" t="str">
        <f t="shared" si="93"/>
        <v>2,61847510501054+430,741752942427i</v>
      </c>
      <c r="BG21" s="68">
        <f t="shared" si="94"/>
        <v>52.6844999091908</v>
      </c>
      <c r="BH21" s="31">
        <f t="shared" si="95"/>
        <v>89.6517037801716</v>
      </c>
      <c r="BI21" s="30" t="str">
        <f t="shared" si="96"/>
        <v>-4,38351857827964+2167,39766127183i</v>
      </c>
      <c r="BJ21" s="68">
        <f t="shared" si="97"/>
        <v>66.7187897725961</v>
      </c>
      <c r="BK21" s="31">
        <f t="shared" si="98"/>
        <v>90.1158794142832</v>
      </c>
      <c r="BL21" s="32">
        <f t="shared" si="99"/>
        <v>52.6844999091908</v>
      </c>
      <c r="BM21" s="31">
        <f t="shared" si="100"/>
        <v>89.6517037801716</v>
      </c>
      <c r="BO21">
        <f t="shared" si="101"/>
        <v>0</v>
      </c>
      <c r="BP21">
        <f t="shared" si="102"/>
        <v>0</v>
      </c>
    </row>
    <row r="22" spans="1:68">
      <c r="A22" t="s">
        <v>477</v>
      </c>
      <c r="N22" s="7">
        <v>4</v>
      </c>
      <c r="O22" s="18">
        <f t="shared" si="62"/>
        <v>10.9647819614319</v>
      </c>
      <c r="P22" s="86" t="str">
        <f t="shared" si="50"/>
        <v>15</v>
      </c>
      <c r="Q22" s="4" t="str">
        <f t="shared" si="51"/>
        <v>1+0,0200940124339781i</v>
      </c>
      <c r="R22" s="4">
        <f t="shared" si="63"/>
        <v>1.00020186429325</v>
      </c>
      <c r="S22" s="4">
        <f t="shared" si="64"/>
        <v>0.0200913086402893</v>
      </c>
      <c r="T22" s="4" t="str">
        <f t="shared" si="52"/>
        <v>1+0,0000137787513832993i</v>
      </c>
      <c r="U22" s="4">
        <f t="shared" si="65"/>
        <v>1.00000000009493</v>
      </c>
      <c r="V22" s="4">
        <f t="shared" si="66"/>
        <v>1.37787513824273e-5</v>
      </c>
      <c r="W22" t="str">
        <f t="shared" si="53"/>
        <v>1-0,00120564074603869i</v>
      </c>
      <c r="X22" s="4">
        <f t="shared" si="67"/>
        <v>1.00000072678454</v>
      </c>
      <c r="Y22" s="4">
        <f t="shared" si="68"/>
        <v>-0.00120564016187828</v>
      </c>
      <c r="Z22" t="str">
        <f t="shared" si="54"/>
        <v>0,999999999145056+0,0000639727742796036i</v>
      </c>
      <c r="AA22" s="4">
        <f t="shared" si="69"/>
        <v>1.00000000119131</v>
      </c>
      <c r="AB22" s="4">
        <f t="shared" si="70"/>
        <v>6.39727742470269e-5</v>
      </c>
      <c r="AC22" s="67" t="str">
        <f t="shared" si="71"/>
        <v>14,993566593105-0,32011843504133i</v>
      </c>
      <c r="AD22" s="68">
        <f t="shared" si="72"/>
        <v>23.5200782903332</v>
      </c>
      <c r="AE22" s="31">
        <f t="shared" si="73"/>
        <v>-1.22310118853732</v>
      </c>
      <c r="AF22" s="32" t="str">
        <f t="shared" si="74"/>
        <v>75,4669735059805</v>
      </c>
      <c r="AG22" s="32" t="str">
        <f t="shared" si="55"/>
        <v>1+0,0129175794218431i</v>
      </c>
      <c r="AH22" s="32">
        <f t="shared" si="75"/>
        <v>1.00008342844891</v>
      </c>
      <c r="AI22" s="32">
        <f t="shared" si="76"/>
        <v>0.0129168610013888</v>
      </c>
      <c r="AJ22" s="32" t="str">
        <f t="shared" si="56"/>
        <v>1+0,0000137787513832993i</v>
      </c>
      <c r="AK22" s="32">
        <f t="shared" si="77"/>
        <v>1.00000000009493</v>
      </c>
      <c r="AL22" s="32">
        <f t="shared" si="78"/>
        <v>1.37787513824273e-5</v>
      </c>
      <c r="AM22" s="32" t="str">
        <f t="shared" si="57"/>
        <v>1-0,000154051123690632i</v>
      </c>
      <c r="AN22" s="32">
        <f t="shared" si="79"/>
        <v>1.00000001186587</v>
      </c>
      <c r="AO22" s="32">
        <f t="shared" si="80"/>
        <v>-0.000154051122471998</v>
      </c>
      <c r="AP22" s="30" t="str">
        <f t="shared" si="81"/>
        <v>75,4542463349045-0,985272151150981i</v>
      </c>
      <c r="AQ22" s="32">
        <f t="shared" si="82"/>
        <v>37.5544141555654</v>
      </c>
      <c r="AR22" s="31">
        <f t="shared" si="83"/>
        <v>-0.74811863478243</v>
      </c>
      <c r="AS22" t="str">
        <f t="shared" si="58"/>
        <v>-0,000338461538461538</v>
      </c>
      <c r="AT22" t="str">
        <f t="shared" si="59"/>
        <v>0,0000120601277232604i</v>
      </c>
      <c r="AU22">
        <f t="shared" si="84"/>
        <v>1.20601277232604e-5</v>
      </c>
      <c r="AV22">
        <f t="shared" si="85"/>
        <v>1.5707963267949</v>
      </c>
      <c r="AW22" t="str">
        <f t="shared" si="60"/>
        <v>1+0,00195731408307407i</v>
      </c>
      <c r="AX22">
        <f t="shared" si="86"/>
        <v>1.00000191553738</v>
      </c>
      <c r="AY22">
        <f t="shared" si="87"/>
        <v>0.00195731158353857</v>
      </c>
      <c r="AZ22" t="str">
        <f t="shared" si="61"/>
        <v>1+0,0170856517152911i</v>
      </c>
      <c r="BA22">
        <f t="shared" si="88"/>
        <v>1.0001459490967</v>
      </c>
      <c r="BB22">
        <f t="shared" si="89"/>
        <v>0.0170839894614904</v>
      </c>
      <c r="BC22" s="30" t="str">
        <f t="shared" si="90"/>
        <v>-0,42456771026255+28,0653379751452i</v>
      </c>
      <c r="BD22" s="32">
        <f t="shared" si="91"/>
        <v>28.9643993058747</v>
      </c>
      <c r="BE22" s="31">
        <f t="shared" si="92"/>
        <v>90.8666948004606</v>
      </c>
      <c r="BF22" s="30" t="str">
        <f t="shared" si="93"/>
        <v>2,61844783440584+420,935425839317i</v>
      </c>
      <c r="BG22" s="68">
        <f t="shared" si="94"/>
        <v>52.4844775962079</v>
      </c>
      <c r="BH22" s="31">
        <f t="shared" si="95"/>
        <v>89.6435936119232</v>
      </c>
      <c r="BI22" s="30" t="str">
        <f t="shared" si="96"/>
        <v>-4,38344067644618+2118,06723979016i</v>
      </c>
      <c r="BJ22" s="68">
        <f t="shared" si="97"/>
        <v>66.5188134614401</v>
      </c>
      <c r="BK22" s="31">
        <f t="shared" si="98"/>
        <v>90.1185761656781</v>
      </c>
      <c r="BL22" s="32">
        <f t="shared" si="99"/>
        <v>52.4844775962079</v>
      </c>
      <c r="BM22" s="31">
        <f t="shared" si="100"/>
        <v>89.6435936119232</v>
      </c>
      <c r="BO22">
        <f t="shared" si="101"/>
        <v>0</v>
      </c>
      <c r="BP22">
        <f t="shared" si="102"/>
        <v>0</v>
      </c>
    </row>
    <row r="23" spans="1:68">
      <c r="A23" t="s">
        <v>478</v>
      </c>
      <c r="B23" s="85">
        <f>Lm</f>
        <v>1e-5</v>
      </c>
      <c r="C23" t="s">
        <v>139</v>
      </c>
      <c r="E23" t="s">
        <v>479</v>
      </c>
      <c r="N23" s="7">
        <v>5</v>
      </c>
      <c r="O23" s="18">
        <f t="shared" si="62"/>
        <v>11.2201845430196</v>
      </c>
      <c r="P23" s="86" t="str">
        <f t="shared" si="50"/>
        <v>15</v>
      </c>
      <c r="Q23" s="4" t="str">
        <f t="shared" si="51"/>
        <v>1+0,0205620621104921i</v>
      </c>
      <c r="R23" s="4">
        <f t="shared" si="63"/>
        <v>1.00021137685903</v>
      </c>
      <c r="S23" s="4">
        <f t="shared" si="64"/>
        <v>0.0205591649764239</v>
      </c>
      <c r="T23" s="4" t="str">
        <f t="shared" si="52"/>
        <v>1+0,0000140996997329089i</v>
      </c>
      <c r="U23" s="4">
        <f t="shared" si="65"/>
        <v>1.0000000000994</v>
      </c>
      <c r="V23" s="4">
        <f t="shared" si="66"/>
        <v>1.40996997319746e-5</v>
      </c>
      <c r="W23" t="str">
        <f t="shared" si="53"/>
        <v>1-0,00123372372662953i</v>
      </c>
      <c r="X23" s="4">
        <f t="shared" si="67"/>
        <v>1.00000076103683</v>
      </c>
      <c r="Y23" s="4">
        <f t="shared" si="68"/>
        <v>-0.0012337231006904</v>
      </c>
      <c r="Z23" t="str">
        <f t="shared" si="54"/>
        <v>0,999999999104764+0,0000654628916170768i</v>
      </c>
      <c r="AA23" s="4">
        <f t="shared" si="69"/>
        <v>1.00000000124746</v>
      </c>
      <c r="AB23" s="4">
        <f t="shared" si="70"/>
        <v>6.54628915821702e-5</v>
      </c>
      <c r="AC23" s="67" t="str">
        <f t="shared" si="71"/>
        <v>14,9932635241161-0,327568719552166i</v>
      </c>
      <c r="AD23" s="68">
        <f t="shared" si="72"/>
        <v>23.5199959793677</v>
      </c>
      <c r="AE23" s="31">
        <f t="shared" si="73"/>
        <v>-1.25158340433495</v>
      </c>
      <c r="AF23" s="32" t="str">
        <f t="shared" si="74"/>
        <v>75,4669735059805</v>
      </c>
      <c r="AG23" s="32" t="str">
        <f t="shared" si="55"/>
        <v>1+0,0132184684996021i</v>
      </c>
      <c r="AH23" s="32">
        <f t="shared" si="75"/>
        <v>1.00008736013884</v>
      </c>
      <c r="AI23" s="32">
        <f t="shared" si="76"/>
        <v>0.0132176987018478</v>
      </c>
      <c r="AJ23" s="32" t="str">
        <f t="shared" si="56"/>
        <v>1+0,0000140996997329089i</v>
      </c>
      <c r="AK23" s="32">
        <f t="shared" si="77"/>
        <v>1.0000000000994</v>
      </c>
      <c r="AL23" s="32">
        <f t="shared" si="78"/>
        <v>1.40996997319746e-5</v>
      </c>
      <c r="AM23" s="32" t="str">
        <f t="shared" si="57"/>
        <v>1-0,0001576394353256i</v>
      </c>
      <c r="AN23" s="32">
        <f t="shared" si="79"/>
        <v>1.0000000124251</v>
      </c>
      <c r="AO23" s="32">
        <f t="shared" si="80"/>
        <v>-0.00015763943401981</v>
      </c>
      <c r="AP23" s="30" t="str">
        <f t="shared" si="81"/>
        <v>75,4536466265967-1,00821416053681i</v>
      </c>
      <c r="AQ23" s="32">
        <f t="shared" si="82"/>
        <v>37.5543800131527</v>
      </c>
      <c r="AR23" s="31">
        <f t="shared" si="83"/>
        <v>-0.76554257145855</v>
      </c>
      <c r="AS23" t="str">
        <f t="shared" si="58"/>
        <v>-0,000338461538461538</v>
      </c>
      <c r="AT23" t="str">
        <f t="shared" si="59"/>
        <v>0,0000123410441852232i</v>
      </c>
      <c r="AU23">
        <f t="shared" si="84"/>
        <v>1.23410441852232e-5</v>
      </c>
      <c r="AV23">
        <f t="shared" si="85"/>
        <v>1.5707963267949</v>
      </c>
      <c r="AW23" t="str">
        <f t="shared" si="60"/>
        <v>1+0,00200290578490212i</v>
      </c>
      <c r="AX23">
        <f t="shared" si="86"/>
        <v>1.00000200581378</v>
      </c>
      <c r="AY23">
        <f t="shared" si="87"/>
        <v>0.00200290310660186</v>
      </c>
      <c r="AZ23" t="str">
        <f t="shared" si="61"/>
        <v>1+0,017483627668807i</v>
      </c>
      <c r="BA23">
        <f t="shared" si="88"/>
        <v>1.00015282694019</v>
      </c>
      <c r="BB23">
        <f t="shared" si="89"/>
        <v>0.0174818465464683</v>
      </c>
      <c r="BC23" s="30" t="str">
        <f t="shared" si="90"/>
        <v>-0,424567633605814+27,4265311607781i</v>
      </c>
      <c r="BD23" s="32">
        <f t="shared" si="91"/>
        <v>28.7644582530117</v>
      </c>
      <c r="BE23" s="31">
        <f t="shared" si="92"/>
        <v>90.8868781304261</v>
      </c>
      <c r="BF23" s="30" t="str">
        <f t="shared" si="93"/>
        <v>2,61841927963132+411,352284322031i</v>
      </c>
      <c r="BG23" s="68">
        <f t="shared" si="94"/>
        <v>52.2844542323795</v>
      </c>
      <c r="BH23" s="31">
        <f t="shared" si="95"/>
        <v>89.6352947260911</v>
      </c>
      <c r="BI23" s="30" t="str">
        <f t="shared" si="96"/>
        <v>-4,38335910448291+2069,859845499i</v>
      </c>
      <c r="BJ23" s="68">
        <f t="shared" si="97"/>
        <v>66.3188382661645</v>
      </c>
      <c r="BK23" s="31">
        <f t="shared" si="98"/>
        <v>90.1213355589675</v>
      </c>
      <c r="BL23" s="32">
        <f t="shared" si="99"/>
        <v>52.2844542323795</v>
      </c>
      <c r="BM23" s="31">
        <f t="shared" si="100"/>
        <v>89.6352947260911</v>
      </c>
      <c r="BO23">
        <f t="shared" si="101"/>
        <v>0</v>
      </c>
      <c r="BP23">
        <f t="shared" si="102"/>
        <v>0</v>
      </c>
    </row>
    <row r="24" spans="1:68">
      <c r="N24" s="7">
        <v>6</v>
      </c>
      <c r="O24" s="18">
        <f t="shared" si="62"/>
        <v>11.4815362149688</v>
      </c>
      <c r="P24" s="86" t="str">
        <f t="shared" si="50"/>
        <v>15</v>
      </c>
      <c r="Q24" s="4" t="str">
        <f t="shared" si="51"/>
        <v>1+0,0210410140645082i</v>
      </c>
      <c r="R24" s="4">
        <f t="shared" si="63"/>
        <v>1.00022133764126</v>
      </c>
      <c r="S24" s="4">
        <f t="shared" si="64"/>
        <v>0.0210379097665247</v>
      </c>
      <c r="T24" s="4" t="str">
        <f t="shared" si="52"/>
        <v>1+0,0000144281239299485i</v>
      </c>
      <c r="U24" s="4">
        <f t="shared" si="65"/>
        <v>1.00000000010409</v>
      </c>
      <c r="V24" s="4">
        <f t="shared" si="66"/>
        <v>1.44281239289473e-5</v>
      </c>
      <c r="W24" t="str">
        <f t="shared" si="53"/>
        <v>1-0,00126246084387049i</v>
      </c>
      <c r="X24" s="4">
        <f t="shared" si="67"/>
        <v>1.00000079690337</v>
      </c>
      <c r="Y24" s="4">
        <f t="shared" si="68"/>
        <v>-0.00126246017316466</v>
      </c>
      <c r="Z24" t="str">
        <f t="shared" si="54"/>
        <v>0,999999999062573+0,0000669877182461893i</v>
      </c>
      <c r="AA24" s="4">
        <f t="shared" si="69"/>
        <v>1.00000000130625</v>
      </c>
      <c r="AB24" s="4">
        <f t="shared" si="70"/>
        <v>6.69877182087862e-5</v>
      </c>
      <c r="AC24" s="67" t="str">
        <f t="shared" si="71"/>
        <v>14,9929461842828-0,335192098053931i</v>
      </c>
      <c r="AD24" s="68">
        <f t="shared" si="72"/>
        <v>23.5199097908901</v>
      </c>
      <c r="AE24" s="31">
        <f t="shared" si="73"/>
        <v>-1.28072852204976</v>
      </c>
      <c r="AF24" s="32" t="str">
        <f t="shared" si="74"/>
        <v>75,4669735059805</v>
      </c>
      <c r="AG24" s="32" t="str">
        <f t="shared" si="55"/>
        <v>1+0,0135263661843267i</v>
      </c>
      <c r="AH24" s="32">
        <f t="shared" si="75"/>
        <v>1.00009147710705</v>
      </c>
      <c r="AI24" s="32">
        <f t="shared" si="76"/>
        <v>0.0135255413352466</v>
      </c>
      <c r="AJ24" s="32" t="str">
        <f t="shared" si="56"/>
        <v>1+0,0000144281239299485i</v>
      </c>
      <c r="AK24" s="32">
        <f t="shared" si="77"/>
        <v>1.00000000010409</v>
      </c>
      <c r="AL24" s="32">
        <f t="shared" si="78"/>
        <v>1.44281239289473e-5</v>
      </c>
      <c r="AM24" s="32" t="str">
        <f t="shared" si="57"/>
        <v>1-0,000161311329475781i</v>
      </c>
      <c r="AN24" s="32">
        <f t="shared" si="79"/>
        <v>1.00000001301067</v>
      </c>
      <c r="AO24" s="32">
        <f t="shared" si="80"/>
        <v>-0.000161311328076602</v>
      </c>
      <c r="AP24" s="30" t="str">
        <f t="shared" si="81"/>
        <v>75,4530186650147-1,03168999115723i</v>
      </c>
      <c r="AQ24" s="32">
        <f t="shared" si="82"/>
        <v>37.5543442619455</v>
      </c>
      <c r="AR24" s="31">
        <f t="shared" si="83"/>
        <v>-0.783372221818394</v>
      </c>
      <c r="AS24" t="str">
        <f t="shared" si="58"/>
        <v>-0,000338461538461538</v>
      </c>
      <c r="AT24" t="str">
        <f t="shared" si="59"/>
        <v>0,000012628504032166i</v>
      </c>
      <c r="AU24">
        <f t="shared" si="84"/>
        <v>1.2628504032166e-5</v>
      </c>
      <c r="AV24">
        <f t="shared" si="85"/>
        <v>1.5707963267949</v>
      </c>
      <c r="AW24" t="str">
        <f t="shared" si="60"/>
        <v>1+0,00204955945388892i</v>
      </c>
      <c r="AX24">
        <f t="shared" si="86"/>
        <v>1.00000210034477</v>
      </c>
      <c r="AY24">
        <f t="shared" si="87"/>
        <v>0.00204955658403882</v>
      </c>
      <c r="AZ24" t="str">
        <f t="shared" si="61"/>
        <v>1+0,0178908736731361i</v>
      </c>
      <c r="BA24">
        <f t="shared" si="88"/>
        <v>1.00016002887577</v>
      </c>
      <c r="BB24">
        <f t="shared" si="89"/>
        <v>0.0178889651826574</v>
      </c>
      <c r="BC24" s="30" t="str">
        <f t="shared" si="90"/>
        <v>-0,424567553336391+26,8022662562511i</v>
      </c>
      <c r="BD24" s="32">
        <f t="shared" si="91"/>
        <v>28.5645199773615</v>
      </c>
      <c r="BE24" s="31">
        <f t="shared" si="92"/>
        <v>90.9075312626841</v>
      </c>
      <c r="BF24" s="30" t="str">
        <f t="shared" si="93"/>
        <v>2,61838938026776+401,98724728576i</v>
      </c>
      <c r="BG24" s="68">
        <f t="shared" si="94"/>
        <v>52.0844297682515</v>
      </c>
      <c r="BH24" s="31">
        <f t="shared" si="95"/>
        <v>89.6268027406343</v>
      </c>
      <c r="BI24" s="30" t="str">
        <f t="shared" si="96"/>
        <v>-4,38327368954491+2022,74991819296i</v>
      </c>
      <c r="BJ24" s="68">
        <f t="shared" si="97"/>
        <v>66.118864239307</v>
      </c>
      <c r="BK24" s="31">
        <f t="shared" si="98"/>
        <v>90.1241590408657</v>
      </c>
      <c r="BL24" s="32">
        <f t="shared" si="99"/>
        <v>52.0844297682515</v>
      </c>
      <c r="BM24" s="31">
        <f t="shared" si="100"/>
        <v>89.6268027406343</v>
      </c>
      <c r="BO24">
        <f t="shared" si="101"/>
        <v>0</v>
      </c>
      <c r="BP24">
        <f t="shared" si="102"/>
        <v>0</v>
      </c>
    </row>
    <row r="25" spans="1:68">
      <c r="A25" t="s">
        <v>239</v>
      </c>
      <c r="B25" s="85">
        <f>R_cs</f>
        <v>0.05</v>
      </c>
      <c r="C25" s="16" t="s">
        <v>35</v>
      </c>
      <c r="E25" t="s">
        <v>480</v>
      </c>
      <c r="N25" s="7">
        <v>7</v>
      </c>
      <c r="O25" s="18">
        <f t="shared" si="62"/>
        <v>11.7489755493953</v>
      </c>
      <c r="P25" s="86" t="str">
        <f t="shared" si="50"/>
        <v>15</v>
      </c>
      <c r="Q25" s="4" t="str">
        <f t="shared" si="51"/>
        <v>1+0,0215311222426921i</v>
      </c>
      <c r="R25" s="4">
        <f t="shared" si="63"/>
        <v>1.00023176775437</v>
      </c>
      <c r="S25" s="4">
        <f t="shared" si="64"/>
        <v>0.0215277959690997</v>
      </c>
      <c r="T25" s="4" t="str">
        <f t="shared" si="52"/>
        <v>1+0,0000147641981092746i</v>
      </c>
      <c r="U25" s="4">
        <f t="shared" si="65"/>
        <v>1.00000000010899</v>
      </c>
      <c r="V25" s="4">
        <f t="shared" si="66"/>
        <v>1.47641981082018e-5</v>
      </c>
      <c r="W25" t="str">
        <f t="shared" si="53"/>
        <v>1-0,00129186733456153i</v>
      </c>
      <c r="X25" s="4">
        <f t="shared" si="67"/>
        <v>1.00000083446026</v>
      </c>
      <c r="Y25" s="4">
        <f t="shared" si="68"/>
        <v>-0.00129186661588732</v>
      </c>
      <c r="Z25" t="str">
        <f t="shared" si="54"/>
        <v>0,999999999018393+0,0000685480626502031i</v>
      </c>
      <c r="AA25" s="4">
        <f t="shared" si="69"/>
        <v>1.00000000136781</v>
      </c>
      <c r="AB25" s="4">
        <f t="shared" si="70"/>
        <v>6.8548062610125e-5</v>
      </c>
      <c r="AC25" s="67" t="str">
        <f t="shared" si="71"/>
        <v>14,9926139022323-0,342992570598574i</v>
      </c>
      <c r="AD25" s="68">
        <f t="shared" si="72"/>
        <v>23.5198195423211</v>
      </c>
      <c r="AE25" s="31">
        <f t="shared" si="73"/>
        <v>-1.31055194447421</v>
      </c>
      <c r="AF25" s="32" t="str">
        <f t="shared" si="74"/>
        <v>75,4669735059805</v>
      </c>
      <c r="AG25" s="32" t="str">
        <f t="shared" si="55"/>
        <v>1+0,0138414357274449i</v>
      </c>
      <c r="AH25" s="32">
        <f t="shared" si="75"/>
        <v>1.00009578808382</v>
      </c>
      <c r="AI25" s="32">
        <f t="shared" si="76"/>
        <v>0.0138405518903037</v>
      </c>
      <c r="AJ25" s="32" t="str">
        <f t="shared" si="56"/>
        <v>1+0,0000147641981092746i</v>
      </c>
      <c r="AK25" s="32">
        <f t="shared" si="77"/>
        <v>1.00000000010899</v>
      </c>
      <c r="AL25" s="32">
        <f t="shared" si="78"/>
        <v>1.47641981082018e-5</v>
      </c>
      <c r="AM25" s="32" t="str">
        <f t="shared" si="57"/>
        <v>1-0,000165068753028059i</v>
      </c>
      <c r="AN25" s="32">
        <f t="shared" si="79"/>
        <v>1.00000001362385</v>
      </c>
      <c r="AO25" s="32">
        <f t="shared" si="80"/>
        <v>-0.000165068751528811</v>
      </c>
      <c r="AP25" s="30" t="str">
        <f t="shared" si="81"/>
        <v>75,4523611195978-1,05571203678476i</v>
      </c>
      <c r="AQ25" s="32">
        <f t="shared" si="82"/>
        <v>37.5543068261513</v>
      </c>
      <c r="AR25" s="31">
        <f t="shared" si="83"/>
        <v>-0.801617025998815</v>
      </c>
      <c r="AS25" t="str">
        <f t="shared" si="58"/>
        <v>-0,000338461538461538</v>
      </c>
      <c r="AT25" t="str">
        <f t="shared" si="59"/>
        <v>0,0000129226596791047i</v>
      </c>
      <c r="AU25">
        <f t="shared" si="84"/>
        <v>1.29226596791047e-5</v>
      </c>
      <c r="AV25">
        <f t="shared" si="85"/>
        <v>1.5707963267949</v>
      </c>
      <c r="AW25" t="str">
        <f t="shared" si="60"/>
        <v>1+0,00209729982642731i</v>
      </c>
      <c r="AX25">
        <f t="shared" si="86"/>
        <v>1.00000219933086</v>
      </c>
      <c r="AY25">
        <f t="shared" si="87"/>
        <v>0.00209729675132789</v>
      </c>
      <c r="AZ25" t="str">
        <f t="shared" si="61"/>
        <v>1+0,0183076056555005i</v>
      </c>
      <c r="BA25">
        <f t="shared" si="88"/>
        <v>1.00016757017254</v>
      </c>
      <c r="BB25">
        <f t="shared" si="89"/>
        <v>0.0183055606896128</v>
      </c>
      <c r="BC25" s="30" t="str">
        <f t="shared" si="90"/>
        <v>-0,424567469284017+26,1922122680476i</v>
      </c>
      <c r="BD25" s="32">
        <f t="shared" si="91"/>
        <v>28.3645846097249</v>
      </c>
      <c r="BE25" s="31">
        <f t="shared" si="92"/>
        <v>90.9286651168978</v>
      </c>
      <c r="BF25" s="30" t="str">
        <f t="shared" si="93"/>
        <v>2,61835807305801+392,835349267832i</v>
      </c>
      <c r="BG25" s="68">
        <f t="shared" si="94"/>
        <v>51.884404152046</v>
      </c>
      <c r="BH25" s="31">
        <f t="shared" si="95"/>
        <v>89.6181131724236</v>
      </c>
      <c r="BI25" s="30" t="str">
        <f t="shared" si="96"/>
        <v>-4,38318425065208+1976,71247955764i</v>
      </c>
      <c r="BJ25" s="68">
        <f t="shared" si="97"/>
        <v>65.9188914358762</v>
      </c>
      <c r="BK25" s="31">
        <f t="shared" si="98"/>
        <v>90.127048090899</v>
      </c>
      <c r="BL25" s="32">
        <f t="shared" si="99"/>
        <v>51.884404152046</v>
      </c>
      <c r="BM25" s="31">
        <f t="shared" si="100"/>
        <v>89.6181131724236</v>
      </c>
      <c r="BO25">
        <f t="shared" si="101"/>
        <v>0</v>
      </c>
      <c r="BP25">
        <f t="shared" si="102"/>
        <v>0</v>
      </c>
    </row>
    <row r="26" customFormat="1" spans="1:68">
      <c r="A26" t="s">
        <v>241</v>
      </c>
      <c r="B26" s="85">
        <f>R_sl</f>
        <v>0</v>
      </c>
      <c r="C26" s="16" t="s">
        <v>35</v>
      </c>
      <c r="D26"/>
      <c r="E26" t="s">
        <v>481</v>
      </c>
      <c r="F26"/>
      <c r="G26"/>
      <c r="N26" s="7">
        <v>8</v>
      </c>
      <c r="O26" s="18">
        <f t="shared" si="62"/>
        <v>12.0226443461741</v>
      </c>
      <c r="P26" s="86" t="str">
        <f t="shared" si="50"/>
        <v>15</v>
      </c>
      <c r="Q26" s="4" t="str">
        <f t="shared" si="51"/>
        <v>1+0,022032646506887i</v>
      </c>
      <c r="R26" s="4">
        <f t="shared" si="63"/>
        <v>1.000242689307</v>
      </c>
      <c r="S26" s="4">
        <f t="shared" si="64"/>
        <v>0.0220290823872221</v>
      </c>
      <c r="T26" s="4" t="str">
        <f t="shared" si="52"/>
        <v>1+0,0000151081004618654i</v>
      </c>
      <c r="U26" s="4">
        <f t="shared" si="65"/>
        <v>1.00000000011413</v>
      </c>
      <c r="V26" s="4">
        <f t="shared" si="66"/>
        <v>1.51081004607159e-5</v>
      </c>
      <c r="W26" t="str">
        <f t="shared" si="53"/>
        <v>1-0,00132195879041322i</v>
      </c>
      <c r="X26" s="4">
        <f t="shared" si="67"/>
        <v>1.00000087378714</v>
      </c>
      <c r="Y26" s="4">
        <f t="shared" si="68"/>
        <v>-0.00132195802033996</v>
      </c>
      <c r="Z26" t="str">
        <f t="shared" si="54"/>
        <v>0,999999998972132+0,0000701447521443749i</v>
      </c>
      <c r="AA26" s="4">
        <f t="shared" si="69"/>
        <v>1.00000000143227</v>
      </c>
      <c r="AB26" s="4">
        <f t="shared" si="70"/>
        <v>7.01447521014304e-5</v>
      </c>
      <c r="AC26" s="67" t="str">
        <f t="shared" si="71"/>
        <v>14,9922659750656-0,350974228138985i</v>
      </c>
      <c r="AD26" s="68">
        <f t="shared" si="72"/>
        <v>23.5197250424926</v>
      </c>
      <c r="AE26" s="31">
        <f t="shared" si="73"/>
        <v>-1.3410694304503</v>
      </c>
      <c r="AF26" s="32" t="str">
        <f t="shared" si="74"/>
        <v>75,4669735059805</v>
      </c>
      <c r="AG26" s="32" t="str">
        <f t="shared" si="55"/>
        <v>1+0,0141638441829988i</v>
      </c>
      <c r="AH26" s="32">
        <f t="shared" si="75"/>
        <v>1.00010030221075</v>
      </c>
      <c r="AI26" s="32">
        <f t="shared" si="76"/>
        <v>0.0141628971395691</v>
      </c>
      <c r="AJ26" s="32" t="str">
        <f t="shared" si="56"/>
        <v>1+0,0000151081004618654i</v>
      </c>
      <c r="AK26" s="32">
        <f t="shared" si="77"/>
        <v>1.00000000011413</v>
      </c>
      <c r="AL26" s="32">
        <f t="shared" si="78"/>
        <v>1.51081004607159e-5</v>
      </c>
      <c r="AM26" s="32" t="str">
        <f t="shared" si="57"/>
        <v>1-0,000168913698218135i</v>
      </c>
      <c r="AN26" s="32">
        <f t="shared" si="79"/>
        <v>1.00000001426592</v>
      </c>
      <c r="AO26" s="32">
        <f t="shared" si="80"/>
        <v>-0.000168913696611662</v>
      </c>
      <c r="AP26" s="30" t="str">
        <f t="shared" si="81"/>
        <v>75,4516725971716-1,08029297698392i</v>
      </c>
      <c r="AQ26" s="32">
        <f t="shared" si="82"/>
        <v>37.5542676264084</v>
      </c>
      <c r="AR26" s="31">
        <f t="shared" si="83"/>
        <v>-0.820286643300155</v>
      </c>
      <c r="AS26" t="str">
        <f t="shared" si="58"/>
        <v>-0,000338461538461538</v>
      </c>
      <c r="AT26" t="str">
        <f t="shared" si="59"/>
        <v>0,0000132236670912569i</v>
      </c>
      <c r="AU26">
        <f t="shared" si="84"/>
        <v>1.32236670912569e-5</v>
      </c>
      <c r="AV26">
        <f t="shared" si="85"/>
        <v>1.5707963267949</v>
      </c>
      <c r="AW26" t="str">
        <f t="shared" si="60"/>
        <v>1+0,0021461522150947i</v>
      </c>
      <c r="AX26">
        <f t="shared" si="86"/>
        <v>1.00000230298201</v>
      </c>
      <c r="AY26">
        <f t="shared" si="87"/>
        <v>0.00214614892006671</v>
      </c>
      <c r="AZ26" t="str">
        <f t="shared" si="61"/>
        <v>1+0,0187340445727131i</v>
      </c>
      <c r="BA26">
        <f t="shared" si="88"/>
        <v>1.00017546681872</v>
      </c>
      <c r="BB26">
        <f t="shared" si="89"/>
        <v>0.0187318533730474</v>
      </c>
      <c r="BC26" s="30" t="str">
        <f t="shared" si="90"/>
        <v>-0,424567381270407+25,5960457374668i</v>
      </c>
      <c r="BD26" s="32">
        <f t="shared" si="91"/>
        <v>28.1646522870595</v>
      </c>
      <c r="BE26" s="31">
        <f t="shared" si="92"/>
        <v>90.9502908654071</v>
      </c>
      <c r="BF26" s="30" t="str">
        <f t="shared" si="93"/>
        <v>2,61832529177454+383,891737814981i</v>
      </c>
      <c r="BG26" s="68">
        <f t="shared" si="94"/>
        <v>51.684377329552</v>
      </c>
      <c r="BH26" s="31">
        <f t="shared" si="95"/>
        <v>89.6092214349568</v>
      </c>
      <c r="BI26" s="30" t="str">
        <f t="shared" si="96"/>
        <v>-4,38309059830869+1931,72311992582i</v>
      </c>
      <c r="BJ26" s="68">
        <f t="shared" si="97"/>
        <v>65.7189199134679</v>
      </c>
      <c r="BK26" s="31">
        <f t="shared" si="98"/>
        <v>90.130004222107</v>
      </c>
      <c r="BL26" s="32">
        <f t="shared" si="99"/>
        <v>51.684377329552</v>
      </c>
      <c r="BM26" s="31">
        <f t="shared" si="100"/>
        <v>89.6092214349568</v>
      </c>
      <c r="BO26">
        <f t="shared" si="101"/>
        <v>0</v>
      </c>
      <c r="BP26">
        <f t="shared" si="102"/>
        <v>0</v>
      </c>
    </row>
    <row r="27" customFormat="1" spans="1:68">
      <c r="A27" t="s">
        <v>482</v>
      </c>
      <c r="B27" s="10">
        <f>Rsl_int</f>
        <v>2000</v>
      </c>
      <c r="C27" s="16" t="s">
        <v>35</v>
      </c>
      <c r="D27"/>
      <c r="E27" t="s">
        <v>483</v>
      </c>
      <c r="F27"/>
      <c r="G27"/>
      <c r="N27" s="7">
        <v>9</v>
      </c>
      <c r="O27" s="18">
        <f t="shared" si="62"/>
        <v>12.3026877081238</v>
      </c>
      <c r="P27" s="86" t="str">
        <f t="shared" si="50"/>
        <v>15</v>
      </c>
      <c r="Q27" s="4" t="str">
        <f t="shared" si="51"/>
        <v>1+0,0225458527718966i</v>
      </c>
      <c r="R27" s="4">
        <f t="shared" si="63"/>
        <v>1.00025412544873</v>
      </c>
      <c r="S27" s="4">
        <f t="shared" si="64"/>
        <v>0.0225420338012704</v>
      </c>
      <c r="T27" s="4" t="str">
        <f t="shared" si="52"/>
        <v>1+0,0000154600133293005i</v>
      </c>
      <c r="U27" s="4">
        <f t="shared" si="65"/>
        <v>1.00000000011951</v>
      </c>
      <c r="V27" s="4">
        <f t="shared" si="66"/>
        <v>1.54600133280688e-5</v>
      </c>
      <c r="W27" t="str">
        <f t="shared" si="53"/>
        <v>1-0,00135275116631379i</v>
      </c>
      <c r="X27" s="4">
        <f t="shared" si="67"/>
        <v>1.00000091496744</v>
      </c>
      <c r="Y27" s="4">
        <f t="shared" si="68"/>
        <v>-0.00135275034116547</v>
      </c>
      <c r="Z27" t="str">
        <f t="shared" si="54"/>
        <v>0,99999999892369+0,0000717786333146093i</v>
      </c>
      <c r="AA27" s="4">
        <f t="shared" si="69"/>
        <v>1.00000000149978</v>
      </c>
      <c r="AB27" s="4">
        <f t="shared" si="70"/>
        <v>7.17786332685934e-5</v>
      </c>
      <c r="AC27" s="67" t="str">
        <f t="shared" si="71"/>
        <v>14,9919016668835-0,359141254484321i</v>
      </c>
      <c r="AD27" s="68">
        <f t="shared" si="72"/>
        <v>23.5196260912442</v>
      </c>
      <c r="AE27" s="31">
        <f t="shared" si="73"/>
        <v>-1.3722971029683</v>
      </c>
      <c r="AF27" s="32" t="str">
        <f t="shared" si="74"/>
        <v>75,4669735059805</v>
      </c>
      <c r="AG27" s="32" t="str">
        <f t="shared" si="55"/>
        <v>1+0,0144937624962192i</v>
      </c>
      <c r="AH27" s="32">
        <f t="shared" si="75"/>
        <v>1.0001050290601</v>
      </c>
      <c r="AI27" s="32">
        <f t="shared" si="76"/>
        <v>0.014492747726657</v>
      </c>
      <c r="AJ27" s="32" t="str">
        <f t="shared" si="56"/>
        <v>1+0,0000154600133293005i</v>
      </c>
      <c r="AK27" s="32">
        <f t="shared" si="77"/>
        <v>1.00000000011951</v>
      </c>
      <c r="AL27" s="32">
        <f t="shared" si="78"/>
        <v>1.54600133280688e-5</v>
      </c>
      <c r="AM27" s="32" t="str">
        <f t="shared" si="57"/>
        <v>1-0,000172848203686844i</v>
      </c>
      <c r="AN27" s="32">
        <f t="shared" si="79"/>
        <v>1.00000001493825</v>
      </c>
      <c r="AO27" s="32">
        <f t="shared" si="80"/>
        <v>-0.000172848201965477</v>
      </c>
      <c r="AP27" s="30" t="str">
        <f t="shared" si="81"/>
        <v>75,4509516390066-1,10544578356135i</v>
      </c>
      <c r="AQ27" s="32">
        <f t="shared" si="82"/>
        <v>37.5542265796179</v>
      </c>
      <c r="AR27" s="31">
        <f t="shared" si="83"/>
        <v>-0.839390957239396</v>
      </c>
      <c r="AS27" t="str">
        <f t="shared" si="58"/>
        <v>-0,000338461538461538</v>
      </c>
      <c r="AT27" t="str">
        <f t="shared" si="59"/>
        <v>0,0000135316858667368i</v>
      </c>
      <c r="AU27">
        <f t="shared" si="84"/>
        <v>1.35316858667368e-5</v>
      </c>
      <c r="AV27">
        <f t="shared" si="85"/>
        <v>1.5707963267949</v>
      </c>
      <c r="AW27" t="str">
        <f t="shared" si="60"/>
        <v>1+0,00219614252207423i</v>
      </c>
      <c r="AX27">
        <f t="shared" si="86"/>
        <v>1.00000241151808</v>
      </c>
      <c r="AY27">
        <f t="shared" si="87"/>
        <v>0.00219613899138859</v>
      </c>
      <c r="AZ27" t="str">
        <f t="shared" si="61"/>
        <v>1+0,0191704165283326i</v>
      </c>
      <c r="BA27">
        <f t="shared" si="88"/>
        <v>1.00018373555556</v>
      </c>
      <c r="BB27">
        <f t="shared" si="89"/>
        <v>0.0191680686388835</v>
      </c>
      <c r="BC27" s="30" t="str">
        <f t="shared" si="90"/>
        <v>-0,424567289108887+25,0134505691219i</v>
      </c>
      <c r="BD27" s="32">
        <f t="shared" si="91"/>
        <v>27.9647231527681</v>
      </c>
      <c r="BE27" s="31">
        <f t="shared" si="92"/>
        <v>90.9724199389944</v>
      </c>
      <c r="BF27" s="30" t="str">
        <f t="shared" si="93"/>
        <v>2,61829096708026+375,15167091055i</v>
      </c>
      <c r="BG27" s="68">
        <f t="shared" si="94"/>
        <v>51.4843492440122</v>
      </c>
      <c r="BH27" s="31">
        <f t="shared" si="95"/>
        <v>89.6001228360261</v>
      </c>
      <c r="BI27" s="30" t="str">
        <f t="shared" si="96"/>
        <v>-4,38299253410271+1887,75798533508i</v>
      </c>
      <c r="BJ27" s="68">
        <f t="shared" si="97"/>
        <v>65.5189497323859</v>
      </c>
      <c r="BK27" s="31">
        <f t="shared" si="98"/>
        <v>90.133028981755</v>
      </c>
      <c r="BL27" s="32">
        <f t="shared" si="99"/>
        <v>51.4843492440122</v>
      </c>
      <c r="BM27" s="31">
        <f t="shared" si="100"/>
        <v>89.6001228360261</v>
      </c>
      <c r="BO27">
        <f t="shared" si="101"/>
        <v>0</v>
      </c>
      <c r="BP27">
        <f t="shared" si="102"/>
        <v>0</v>
      </c>
    </row>
    <row r="28" spans="1:68">
      <c r="A28" t="s">
        <v>484</v>
      </c>
      <c r="B28" s="10">
        <f>Isl</f>
        <v>4.25e-5</v>
      </c>
      <c r="C28" s="16" t="s">
        <v>12</v>
      </c>
      <c r="E28" t="s">
        <v>485</v>
      </c>
      <c r="N28" s="7">
        <v>10</v>
      </c>
      <c r="O28" s="18">
        <f t="shared" si="62"/>
        <v>12.5892541179417</v>
      </c>
      <c r="P28" s="86" t="str">
        <f t="shared" si="50"/>
        <v>15</v>
      </c>
      <c r="Q28" s="4" t="str">
        <f t="shared" si="51"/>
        <v>1+0,0230710131464754i</v>
      </c>
      <c r="R28" s="4">
        <f t="shared" si="63"/>
        <v>1.00026610041909</v>
      </c>
      <c r="S28" s="4">
        <f t="shared" si="64"/>
        <v>0.0230669211045162</v>
      </c>
      <c r="T28" s="4" t="str">
        <f t="shared" si="52"/>
        <v>1+0,0000158201233004403i</v>
      </c>
      <c r="U28" s="4">
        <f t="shared" si="65"/>
        <v>1.00000000012514</v>
      </c>
      <c r="V28" s="4">
        <f t="shared" si="66"/>
        <v>1.58201232991205e-5</v>
      </c>
      <c r="W28" t="str">
        <f t="shared" si="53"/>
        <v>1-0,00138426078878852i</v>
      </c>
      <c r="X28" s="4">
        <f t="shared" si="67"/>
        <v>1.00000095808851</v>
      </c>
      <c r="Y28" s="4">
        <f t="shared" si="68"/>
        <v>-0.00138425990462621</v>
      </c>
      <c r="Z28" t="str">
        <f t="shared" si="54"/>
        <v>0,999999998872965+0,0000734505724663296i</v>
      </c>
      <c r="AA28" s="4">
        <f t="shared" si="69"/>
        <v>1.00000000157046</v>
      </c>
      <c r="AB28" s="4">
        <f t="shared" si="70"/>
        <v>7.34505724170227e-5</v>
      </c>
      <c r="AC28" s="67" t="str">
        <f t="shared" si="71"/>
        <v>14,9915202072422-0,367497928289314i</v>
      </c>
      <c r="AD28" s="68">
        <f t="shared" si="72"/>
        <v>23.5195224790008</v>
      </c>
      <c r="AE28" s="31">
        <f t="shared" si="73"/>
        <v>-1.40425145744019</v>
      </c>
      <c r="AF28" s="32" t="str">
        <f t="shared" si="74"/>
        <v>75,4669735059805</v>
      </c>
      <c r="AG28" s="32" t="str">
        <f t="shared" si="55"/>
        <v>1+0,0148313655941628i</v>
      </c>
      <c r="AH28" s="32">
        <f t="shared" si="75"/>
        <v>1.00010997865504</v>
      </c>
      <c r="AI28" s="32">
        <f t="shared" si="76"/>
        <v>0.0148302782554443</v>
      </c>
      <c r="AJ28" s="32" t="str">
        <f t="shared" si="56"/>
        <v>1+0,0000158201233004403i</v>
      </c>
      <c r="AK28" s="32">
        <f t="shared" si="77"/>
        <v>1.00000000012514</v>
      </c>
      <c r="AL28" s="32">
        <f t="shared" si="78"/>
        <v>1.58201232991205e-5</v>
      </c>
      <c r="AM28" s="32" t="str">
        <f t="shared" si="57"/>
        <v>1-0,000176874355561064i</v>
      </c>
      <c r="AN28" s="32">
        <f t="shared" si="79"/>
        <v>1.00000001564227</v>
      </c>
      <c r="AO28" s="32">
        <f t="shared" si="80"/>
        <v>-0.000176874353716587</v>
      </c>
      <c r="AP28" s="30" t="str">
        <f t="shared" si="81"/>
        <v>75,4501967177386-1,13118372715132i</v>
      </c>
      <c r="AQ28" s="32">
        <f t="shared" si="82"/>
        <v>37.5541835987676</v>
      </c>
      <c r="AR28" s="31">
        <f t="shared" si="83"/>
        <v>-0.858940080717244</v>
      </c>
      <c r="AS28" t="str">
        <f t="shared" si="58"/>
        <v>-0,000338461538461538</v>
      </c>
      <c r="AT28" t="str">
        <f t="shared" si="59"/>
        <v>0,0000138468793211763i</v>
      </c>
      <c r="AU28">
        <f t="shared" si="84"/>
        <v>1.38468793211763e-5</v>
      </c>
      <c r="AV28">
        <f t="shared" si="85"/>
        <v>1.5707963267949</v>
      </c>
      <c r="AW28" t="str">
        <f t="shared" si="60"/>
        <v>1+0,00224729725288834i</v>
      </c>
      <c r="AX28">
        <f t="shared" si="86"/>
        <v>1.00000252516928</v>
      </c>
      <c r="AY28">
        <f t="shared" si="87"/>
        <v>0.00224729346969103</v>
      </c>
      <c r="AZ28" t="str">
        <f t="shared" si="61"/>
        <v>1+0,0196169528925459i</v>
      </c>
      <c r="BA28">
        <f t="shared" si="88"/>
        <v>1.00019239391269</v>
      </c>
      <c r="BB28">
        <f t="shared" si="89"/>
        <v>0.0196144371098106</v>
      </c>
      <c r="BC28" s="30" t="str">
        <f t="shared" si="90"/>
        <v>-0,424567192603971+24,4441178633418i</v>
      </c>
      <c r="BD28" s="32">
        <f t="shared" si="91"/>
        <v>27.7647973570023</v>
      </c>
      <c r="BE28" s="31">
        <f t="shared" si="92"/>
        <v>90.9950640327763</v>
      </c>
      <c r="BF28" s="30" t="str">
        <f t="shared" si="93"/>
        <v>2,6182550263834+366,6105144602i</v>
      </c>
      <c r="BG28" s="68">
        <f t="shared" si="94"/>
        <v>51.2843198360031</v>
      </c>
      <c r="BH28" s="31">
        <f t="shared" si="95"/>
        <v>89.5908125753361</v>
      </c>
      <c r="BI28" s="30" t="str">
        <f t="shared" si="96"/>
        <v>-4,38288985028649+1844,79376488008i</v>
      </c>
      <c r="BJ28" s="68">
        <f t="shared" si="97"/>
        <v>65.3189809557699</v>
      </c>
      <c r="BK28" s="31">
        <f t="shared" si="98"/>
        <v>90.1361239520591</v>
      </c>
      <c r="BL28" s="32">
        <f t="shared" si="99"/>
        <v>51.2843198360031</v>
      </c>
      <c r="BM28" s="31">
        <f t="shared" si="100"/>
        <v>89.5908125753361</v>
      </c>
      <c r="BO28">
        <f t="shared" si="101"/>
        <v>0</v>
      </c>
      <c r="BP28">
        <f t="shared" si="102"/>
        <v>0</v>
      </c>
    </row>
    <row r="29" spans="1:68">
      <c r="B29" s="13"/>
      <c r="C29" s="16"/>
      <c r="N29" s="7">
        <v>11</v>
      </c>
      <c r="O29" s="18">
        <f t="shared" si="62"/>
        <v>12.8824955169313</v>
      </c>
      <c r="P29" s="86" t="str">
        <f t="shared" si="50"/>
        <v>15</v>
      </c>
      <c r="Q29" s="4" t="str">
        <f t="shared" si="51"/>
        <v>1+0,0236084060776054i</v>
      </c>
      <c r="R29" s="4">
        <f t="shared" si="63"/>
        <v>1.00027863959875</v>
      </c>
      <c r="S29" s="4">
        <f t="shared" si="64"/>
        <v>0.0236040214416127</v>
      </c>
      <c r="T29" s="4" t="str">
        <f t="shared" si="52"/>
        <v>1+0,000016188621310358i</v>
      </c>
      <c r="U29" s="4">
        <f t="shared" si="65"/>
        <v>1.00000000013104</v>
      </c>
      <c r="V29" s="4">
        <f t="shared" si="66"/>
        <v>1.61886213089438e-5</v>
      </c>
      <c r="W29" t="str">
        <f t="shared" si="53"/>
        <v>1-0,00141650436465632i</v>
      </c>
      <c r="X29" s="4">
        <f t="shared" si="67"/>
        <v>1.0000010032418</v>
      </c>
      <c r="Y29" s="4">
        <f t="shared" si="68"/>
        <v>-0.00141650341725939</v>
      </c>
      <c r="Z29" t="str">
        <f t="shared" si="54"/>
        <v>0,999999998819849+0,0000751614560838047i</v>
      </c>
      <c r="AA29" s="4">
        <f t="shared" si="69"/>
        <v>1.00000000164447</v>
      </c>
      <c r="AB29" s="4">
        <f t="shared" si="70"/>
        <v>7.51614560309714e-5</v>
      </c>
      <c r="AC29" s="67" t="str">
        <f t="shared" si="71"/>
        <v>14,9911207895401-0,376048625077614i</v>
      </c>
      <c r="AD29" s="68">
        <f t="shared" si="72"/>
        <v>23.5194139863315</v>
      </c>
      <c r="AE29" s="31">
        <f t="shared" si="73"/>
        <v>-1.43694937015102</v>
      </c>
      <c r="AF29" s="32" t="str">
        <f t="shared" si="74"/>
        <v>75,4669735059805</v>
      </c>
      <c r="AG29" s="32" t="str">
        <f t="shared" si="55"/>
        <v>1+0,0151768324784606i</v>
      </c>
      <c r="AH29" s="32">
        <f t="shared" si="75"/>
        <v>1.00011516149096</v>
      </c>
      <c r="AI29" s="32">
        <f t="shared" si="76"/>
        <v>0.0151756673812781</v>
      </c>
      <c r="AJ29" s="32" t="str">
        <f t="shared" si="56"/>
        <v>1+0,000016188621310358i</v>
      </c>
      <c r="AK29" s="32">
        <f t="shared" si="77"/>
        <v>1.00000000013104</v>
      </c>
      <c r="AL29" s="32">
        <f t="shared" si="78"/>
        <v>1.61886213089438e-5</v>
      </c>
      <c r="AM29" s="32" t="str">
        <f t="shared" si="57"/>
        <v>1-0,000180994288559811i</v>
      </c>
      <c r="AN29" s="32">
        <f t="shared" si="79"/>
        <v>1.00000001637947</v>
      </c>
      <c r="AO29" s="32">
        <f t="shared" si="80"/>
        <v>-0.000180994286583418</v>
      </c>
      <c r="AP29" s="30" t="str">
        <f t="shared" si="81"/>
        <v>75,449406234145-1,15752038393889i</v>
      </c>
      <c r="AQ29" s="32">
        <f t="shared" si="82"/>
        <v>37.5541385927484</v>
      </c>
      <c r="AR29" s="31">
        <f t="shared" si="83"/>
        <v>-0.87894436130166</v>
      </c>
      <c r="AS29" t="str">
        <f t="shared" si="58"/>
        <v>-0,000338461538461538</v>
      </c>
      <c r="AT29" t="str">
        <f t="shared" si="59"/>
        <v>0,000014169414574317i</v>
      </c>
      <c r="AU29">
        <f t="shared" si="84"/>
        <v>1.4169414574317e-5</v>
      </c>
      <c r="AV29">
        <f t="shared" si="85"/>
        <v>1.5707963267949</v>
      </c>
      <c r="AW29" t="str">
        <f t="shared" si="60"/>
        <v>1+0,00229964353045243i</v>
      </c>
      <c r="AX29">
        <f t="shared" si="86"/>
        <v>1.00000264417669</v>
      </c>
      <c r="AY29">
        <f t="shared" si="87"/>
        <v>0.00229963947668406</v>
      </c>
      <c r="AZ29" t="str">
        <f t="shared" si="61"/>
        <v>1+0,0200738904248439i</v>
      </c>
      <c r="BA29">
        <f t="shared" si="88"/>
        <v>1.00020146024528</v>
      </c>
      <c r="BB29">
        <f t="shared" si="89"/>
        <v>0.0200711947443995</v>
      </c>
      <c r="BC29" s="30" t="str">
        <f t="shared" si="90"/>
        <v>-0,424567091550965+23,8877457523886i</v>
      </c>
      <c r="BD29" s="32">
        <f t="shared" si="91"/>
        <v>27.5648750569793</v>
      </c>
      <c r="BE29" s="31">
        <f t="shared" si="92"/>
        <v>91.0182351122236</v>
      </c>
      <c r="BF29" s="30" t="str">
        <f t="shared" si="93"/>
        <v>2,6182173936851+358,263739834912i</v>
      </c>
      <c r="BG29" s="68">
        <f t="shared" si="94"/>
        <v>51.0842890433108</v>
      </c>
      <c r="BH29" s="31">
        <f t="shared" si="95"/>
        <v>89.5812857420726</v>
      </c>
      <c r="BI29" s="30" t="str">
        <f t="shared" si="96"/>
        <v>-4,38278232933876+1802,80767835276i</v>
      </c>
      <c r="BJ29" s="68">
        <f t="shared" si="97"/>
        <v>65.1190136497277</v>
      </c>
      <c r="BK29" s="31">
        <f t="shared" si="98"/>
        <v>90.1392907509219</v>
      </c>
      <c r="BL29" s="32">
        <f t="shared" si="99"/>
        <v>51.0842890433108</v>
      </c>
      <c r="BM29" s="31">
        <f t="shared" si="100"/>
        <v>89.5812857420726</v>
      </c>
      <c r="BO29">
        <f t="shared" si="101"/>
        <v>0</v>
      </c>
      <c r="BP29">
        <f t="shared" si="102"/>
        <v>0</v>
      </c>
    </row>
    <row r="30" spans="1:68">
      <c r="A30" t="s">
        <v>486</v>
      </c>
      <c r="B30" s="10">
        <f>Gcomp</f>
        <v>0.9</v>
      </c>
      <c r="C30" s="16"/>
      <c r="E30" t="s">
        <v>487</v>
      </c>
      <c r="N30" s="7">
        <v>12</v>
      </c>
      <c r="O30" s="18">
        <f t="shared" si="62"/>
        <v>13.1825673855641</v>
      </c>
      <c r="P30" s="86" t="str">
        <f t="shared" si="50"/>
        <v>15</v>
      </c>
      <c r="Q30" s="4" t="str">
        <f t="shared" si="51"/>
        <v>1+0,024158316498132i</v>
      </c>
      <c r="R30" s="4">
        <f t="shared" si="63"/>
        <v>1.00029176956327</v>
      </c>
      <c r="S30" s="4">
        <f t="shared" si="64"/>
        <v>0.0241536183500299</v>
      </c>
      <c r="T30" s="4" t="str">
        <f t="shared" si="52"/>
        <v>1+0,0000165657027415762i</v>
      </c>
      <c r="U30" s="4">
        <f t="shared" si="65"/>
        <v>1.00000000013721</v>
      </c>
      <c r="V30" s="4">
        <f t="shared" si="66"/>
        <v>1.65657027400609e-5</v>
      </c>
      <c r="W30" t="str">
        <f t="shared" si="53"/>
        <v>1-0,00144949898988792i</v>
      </c>
      <c r="X30" s="4">
        <f t="shared" si="67"/>
        <v>1.00000105052311</v>
      </c>
      <c r="Y30" s="4">
        <f t="shared" si="68"/>
        <v>-0.00144949797473388</v>
      </c>
      <c r="Z30" t="str">
        <f t="shared" si="54"/>
        <v>0,999999998764231+0,000076912191300175i</v>
      </c>
      <c r="AA30" s="4">
        <f t="shared" si="69"/>
        <v>1.00000000172197</v>
      </c>
      <c r="AB30" s="4">
        <f t="shared" si="70"/>
        <v>7.69121912435631e-5</v>
      </c>
      <c r="AC30" s="67" t="str">
        <f t="shared" si="71"/>
        <v>14,9907025693268-0,384797819298998i</v>
      </c>
      <c r="AD30" s="68">
        <f t="shared" si="72"/>
        <v>23.5193003834859</v>
      </c>
      <c r="AE30" s="31">
        <f t="shared" si="73"/>
        <v>-1.47040810689115</v>
      </c>
      <c r="AF30" s="32" t="str">
        <f t="shared" si="74"/>
        <v>75,4669735059805</v>
      </c>
      <c r="AG30" s="32" t="str">
        <f t="shared" si="55"/>
        <v>1+0,0155303463202277i</v>
      </c>
      <c r="AH30" s="32">
        <f t="shared" si="75"/>
        <v>1.00012058855761</v>
      </c>
      <c r="AI30" s="32">
        <f t="shared" si="76"/>
        <v>0.0155290979042339</v>
      </c>
      <c r="AJ30" s="32" t="str">
        <f t="shared" si="56"/>
        <v>1+0,0000165657027415762i</v>
      </c>
      <c r="AK30" s="32">
        <f t="shared" si="77"/>
        <v>1.00000000013721</v>
      </c>
      <c r="AL30" s="32">
        <f t="shared" si="78"/>
        <v>1.65657027400609e-5</v>
      </c>
      <c r="AM30" s="32" t="str">
        <f t="shared" si="57"/>
        <v>1-0,000185210187126095i</v>
      </c>
      <c r="AN30" s="32">
        <f t="shared" si="79"/>
        <v>1.00000001715141</v>
      </c>
      <c r="AO30" s="32">
        <f t="shared" si="80"/>
        <v>-0.000185210185008352</v>
      </c>
      <c r="AP30" s="30" t="str">
        <f t="shared" si="81"/>
        <v>75,4485785137693-1,1844696425227i</v>
      </c>
      <c r="AQ30" s="32">
        <f t="shared" si="82"/>
        <v>37.5540914661608</v>
      </c>
      <c r="AR30" s="31">
        <f t="shared" si="83"/>
        <v>-0.899414386630192</v>
      </c>
      <c r="AS30" t="str">
        <f t="shared" si="58"/>
        <v>-0,000338461538461538</v>
      </c>
      <c r="AT30" t="str">
        <f t="shared" si="59"/>
        <v>0,0000144994626386194i</v>
      </c>
      <c r="AU30">
        <f t="shared" si="84"/>
        <v>1.44994626386194e-5</v>
      </c>
      <c r="AV30">
        <f t="shared" si="85"/>
        <v>1.5707963267949</v>
      </c>
      <c r="AW30" t="str">
        <f t="shared" si="60"/>
        <v>1+0,00235320910945574i</v>
      </c>
      <c r="AX30">
        <f t="shared" si="86"/>
        <v>1.00000276879272</v>
      </c>
      <c r="AY30">
        <f t="shared" si="87"/>
        <v>0.00235320476576532</v>
      </c>
      <c r="AZ30" t="str">
        <f t="shared" si="61"/>
        <v>1+0,0205414713995545i</v>
      </c>
      <c r="BA30">
        <f t="shared" si="88"/>
        <v>1.00021095377288</v>
      </c>
      <c r="BB30">
        <f t="shared" si="89"/>
        <v>0.0205385829588191</v>
      </c>
      <c r="BC30" s="30" t="str">
        <f t="shared" si="90"/>
        <v>-0,424566985735528+23,3440392404031i</v>
      </c>
      <c r="BD30" s="32">
        <f t="shared" si="91"/>
        <v>27.3649564173139</v>
      </c>
      <c r="BE30" s="31">
        <f t="shared" si="92"/>
        <v>91.0419454193112</v>
      </c>
      <c r="BF30" s="30" t="str">
        <f t="shared" si="93"/>
        <v>2,61817798942044+350,106921469834i</v>
      </c>
      <c r="BG30" s="68">
        <f t="shared" si="94"/>
        <v>50.8842568007998</v>
      </c>
      <c r="BH30" s="31">
        <f t="shared" si="95"/>
        <v>89.5715373124201</v>
      </c>
      <c r="BI30" s="30" t="str">
        <f t="shared" si="96"/>
        <v>-4,38266974350522+1761,77746416389i</v>
      </c>
      <c r="BJ30" s="68">
        <f t="shared" si="97"/>
        <v>64.9190478834747</v>
      </c>
      <c r="BK30" s="31">
        <f t="shared" si="98"/>
        <v>90.142531032681</v>
      </c>
      <c r="BL30" s="32">
        <f t="shared" si="99"/>
        <v>50.8842568007998</v>
      </c>
      <c r="BM30" s="31">
        <f t="shared" si="100"/>
        <v>89.5715373124201</v>
      </c>
      <c r="BO30">
        <f t="shared" si="101"/>
        <v>0</v>
      </c>
      <c r="BP30">
        <f t="shared" si="102"/>
        <v>0</v>
      </c>
    </row>
    <row r="31" spans="1:68">
      <c r="A31" t="s">
        <v>436</v>
      </c>
      <c r="B31">
        <v>1</v>
      </c>
      <c r="E31" t="s">
        <v>488</v>
      </c>
      <c r="N31" s="7">
        <v>13</v>
      </c>
      <c r="O31" s="18">
        <f t="shared" si="62"/>
        <v>13.4896288259165</v>
      </c>
      <c r="P31" s="86" t="str">
        <f t="shared" si="50"/>
        <v>15</v>
      </c>
      <c r="Q31" s="4" t="str">
        <f t="shared" si="51"/>
        <v>1+0,024721035977839i</v>
      </c>
      <c r="R31" s="4">
        <f t="shared" si="63"/>
        <v>1.00030551813924</v>
      </c>
      <c r="S31" s="4">
        <f t="shared" si="64"/>
        <v>0.0247160019044867</v>
      </c>
      <c r="T31" s="4" t="str">
        <f t="shared" si="52"/>
        <v>1+0,000016951567527661i</v>
      </c>
      <c r="U31" s="4">
        <f t="shared" si="65"/>
        <v>1.00000000014368</v>
      </c>
      <c r="V31" s="4">
        <f t="shared" si="66"/>
        <v>1.69515675260373e-5</v>
      </c>
      <c r="W31" t="str">
        <f t="shared" si="53"/>
        <v>1-0,00148326215867034i</v>
      </c>
      <c r="X31" s="4">
        <f t="shared" si="67"/>
        <v>1.00000110003271</v>
      </c>
      <c r="Y31" s="4">
        <f t="shared" si="68"/>
        <v>-0.00148326107091325</v>
      </c>
      <c r="Z31" t="str">
        <f t="shared" si="54"/>
        <v>0,999999998705991+0,0000787037063784259i</v>
      </c>
      <c r="AA31" s="4">
        <f t="shared" si="69"/>
        <v>1.00000000180313</v>
      </c>
      <c r="AB31" s="4">
        <f t="shared" si="70"/>
        <v>7.87037063177651e-5</v>
      </c>
      <c r="AC31" s="67" t="str">
        <f t="shared" si="71"/>
        <v>14,9902646625365-0,393750086420356i</v>
      </c>
      <c r="AD31" s="68">
        <f t="shared" si="72"/>
        <v>23.5191814299111</v>
      </c>
      <c r="AE31" s="31">
        <f t="shared" si="73"/>
        <v>-1.50464533177245</v>
      </c>
      <c r="AF31" s="32" t="str">
        <f t="shared" si="74"/>
        <v>75,4669735059805</v>
      </c>
      <c r="AG31" s="32" t="str">
        <f t="shared" si="55"/>
        <v>1+0,0158920945571822i</v>
      </c>
      <c r="AH31" s="32">
        <f t="shared" si="75"/>
        <v>1.00012627136248</v>
      </c>
      <c r="AI31" s="32">
        <f t="shared" si="76"/>
        <v>0.0158907568644654</v>
      </c>
      <c r="AJ31" s="32" t="str">
        <f t="shared" si="56"/>
        <v>1+0,000016951567527661i</v>
      </c>
      <c r="AK31" s="32">
        <f t="shared" si="77"/>
        <v>1.00000000014368</v>
      </c>
      <c r="AL31" s="32">
        <f t="shared" si="78"/>
        <v>1.69515675260373e-5</v>
      </c>
      <c r="AM31" s="32" t="str">
        <f t="shared" si="57"/>
        <v>1-0,00018952428658514i</v>
      </c>
      <c r="AN31" s="32">
        <f t="shared" si="79"/>
        <v>1.00000001795973</v>
      </c>
      <c r="AO31" s="32">
        <f t="shared" si="80"/>
        <v>-0.000189524284315937</v>
      </c>
      <c r="AP31" s="30" t="str">
        <f t="shared" si="81"/>
        <v>75,4477118033902-1,21204571091948i</v>
      </c>
      <c r="AQ31" s="32">
        <f t="shared" si="82"/>
        <v>37.5540421191138</v>
      </c>
      <c r="AR31" s="31">
        <f t="shared" si="83"/>
        <v>-0.920360989933579</v>
      </c>
      <c r="AS31" t="str">
        <f t="shared" si="58"/>
        <v>-0,000338461538461538</v>
      </c>
      <c r="AT31" t="str">
        <f t="shared" si="59"/>
        <v>0,0000148371985099358i</v>
      </c>
      <c r="AU31">
        <f t="shared" si="84"/>
        <v>1.48371985099358e-5</v>
      </c>
      <c r="AV31">
        <f t="shared" si="85"/>
        <v>1.5707963267949</v>
      </c>
      <c r="AW31" t="str">
        <f t="shared" si="60"/>
        <v>1+0,00240802239107729i</v>
      </c>
      <c r="AX31">
        <f t="shared" si="86"/>
        <v>1.00000289928172</v>
      </c>
      <c r="AY31">
        <f t="shared" si="87"/>
        <v>0.00240801773672988</v>
      </c>
      <c r="AZ31" t="str">
        <f t="shared" si="61"/>
        <v>1+0,0210199437342996i</v>
      </c>
      <c r="BA31">
        <f t="shared" si="88"/>
        <v>1.00022089462008</v>
      </c>
      <c r="BB31">
        <f t="shared" si="89"/>
        <v>0.0210168487512047</v>
      </c>
      <c r="BC31" s="30" t="str">
        <f t="shared" si="90"/>
        <v>-0,424566874933222+22,8127100469944i</v>
      </c>
      <c r="BD31" s="32">
        <f t="shared" si="91"/>
        <v>27.1650416103659</v>
      </c>
      <c r="BE31" s="31">
        <f t="shared" si="92"/>
        <v>91.0662074788016</v>
      </c>
      <c r="BF31" s="30" t="str">
        <f t="shared" si="93"/>
        <v>2,61813673029154+342,135734517848i</v>
      </c>
      <c r="BG31" s="68">
        <f t="shared" si="94"/>
        <v>50.684223040277</v>
      </c>
      <c r="BH31" s="31">
        <f t="shared" si="95"/>
        <v>89.5615621470291</v>
      </c>
      <c r="BI31" s="30" t="str">
        <f t="shared" si="96"/>
        <v>-4,38255185431846+1721,6813675397i</v>
      </c>
      <c r="BJ31" s="68">
        <f t="shared" si="97"/>
        <v>64.7190837294797</v>
      </c>
      <c r="BK31" s="31">
        <f t="shared" si="98"/>
        <v>90.145846488868</v>
      </c>
      <c r="BL31" s="32">
        <f t="shared" si="99"/>
        <v>50.684223040277</v>
      </c>
      <c r="BM31" s="31">
        <f t="shared" si="100"/>
        <v>89.5615621470291</v>
      </c>
      <c r="BO31">
        <f t="shared" si="101"/>
        <v>0</v>
      </c>
      <c r="BP31">
        <f t="shared" si="102"/>
        <v>0</v>
      </c>
    </row>
    <row r="32" ht="15.75" spans="1:68">
      <c r="A32" s="87" t="s">
        <v>489</v>
      </c>
      <c r="N32" s="7">
        <v>14</v>
      </c>
      <c r="O32" s="18">
        <f t="shared" si="62"/>
        <v>13.8038426460289</v>
      </c>
      <c r="P32" s="86" t="str">
        <f t="shared" si="50"/>
        <v>15</v>
      </c>
      <c r="Q32" s="4" t="str">
        <f t="shared" si="51"/>
        <v>1+0,025296862878043i</v>
      </c>
      <c r="R32" s="4">
        <f t="shared" si="63"/>
        <v>1.0003199144631</v>
      </c>
      <c r="S32" s="4">
        <f t="shared" si="64"/>
        <v>0.0252914688644285</v>
      </c>
      <c r="T32" s="4" t="str">
        <f t="shared" si="52"/>
        <v>1+0,0000173464202592295i</v>
      </c>
      <c r="U32" s="4">
        <f t="shared" si="65"/>
        <v>1.00000000015045</v>
      </c>
      <c r="V32" s="4">
        <f t="shared" si="66"/>
        <v>1.73464202574897e-5</v>
      </c>
      <c r="W32" t="str">
        <f t="shared" si="53"/>
        <v>1-0,00151781177268258i</v>
      </c>
      <c r="X32" s="4">
        <f t="shared" si="67"/>
        <v>1.00000115187563</v>
      </c>
      <c r="Y32" s="4">
        <f t="shared" si="68"/>
        <v>-0.00151781060712993</v>
      </c>
      <c r="Z32" t="str">
        <f t="shared" si="54"/>
        <v>0,999999998645006+0,0000805369512035653i</v>
      </c>
      <c r="AA32" s="4">
        <f t="shared" si="69"/>
        <v>1.00000000188811</v>
      </c>
      <c r="AB32" s="4">
        <f t="shared" si="70"/>
        <v>8.05369511385661e-5</v>
      </c>
      <c r="AC32" s="67" t="str">
        <f t="shared" si="71"/>
        <v>14,9898061436377-0,40291010505021i</v>
      </c>
      <c r="AD32" s="68">
        <f t="shared" si="72"/>
        <v>23.5190568737442</v>
      </c>
      <c r="AE32" s="31">
        <f t="shared" si="73"/>
        <v>-1.53967911623169</v>
      </c>
      <c r="AF32" s="32" t="str">
        <f t="shared" si="74"/>
        <v>75,4669735059805</v>
      </c>
      <c r="AG32" s="32" t="str">
        <f t="shared" si="55"/>
        <v>1+0,0162622689930277i</v>
      </c>
      <c r="AH32" s="32">
        <f t="shared" si="75"/>
        <v>1.00013222195508</v>
      </c>
      <c r="AI32" s="32">
        <f t="shared" si="76"/>
        <v>0.0162608356396915</v>
      </c>
      <c r="AJ32" s="32" t="str">
        <f t="shared" si="56"/>
        <v>1+0,0000173464202592295i</v>
      </c>
      <c r="AK32" s="32">
        <f t="shared" si="77"/>
        <v>1.00000000015045</v>
      </c>
      <c r="AL32" s="32">
        <f t="shared" si="78"/>
        <v>1.73464202574897e-5</v>
      </c>
      <c r="AM32" s="32" t="str">
        <f t="shared" si="57"/>
        <v>1-0,000193938874329583i</v>
      </c>
      <c r="AN32" s="32">
        <f t="shared" si="79"/>
        <v>1.00000001880614</v>
      </c>
      <c r="AO32" s="32">
        <f t="shared" si="80"/>
        <v>-0.000193938871898088</v>
      </c>
      <c r="AP32" s="30" t="str">
        <f t="shared" si="81"/>
        <v>75,4468042673225-1,24026312371219i</v>
      </c>
      <c r="AQ32" s="32">
        <f t="shared" si="82"/>
        <v>37.5539904470134</v>
      </c>
      <c r="AR32" s="31">
        <f t="shared" si="83"/>
        <v>-0.941795255683106</v>
      </c>
      <c r="AS32" t="str">
        <f t="shared" si="58"/>
        <v>-0,000338461538461538</v>
      </c>
      <c r="AT32" t="str">
        <f t="shared" si="59"/>
        <v>0,0000151828012602958i</v>
      </c>
      <c r="AU32">
        <f t="shared" si="84"/>
        <v>1.51828012602958e-5</v>
      </c>
      <c r="AV32">
        <f t="shared" si="85"/>
        <v>1.5707963267949</v>
      </c>
      <c r="AW32" t="str">
        <f t="shared" si="60"/>
        <v>1+0,00246411243804454i</v>
      </c>
      <c r="AX32">
        <f t="shared" si="86"/>
        <v>1.00000303592045</v>
      </c>
      <c r="AY32">
        <f t="shared" si="87"/>
        <v>0.00246410745082225</v>
      </c>
      <c r="AZ32" t="str">
        <f t="shared" si="61"/>
        <v>1+0,0215095611214446i</v>
      </c>
      <c r="BA32">
        <f t="shared" si="88"/>
        <v>1.00023130385908</v>
      </c>
      <c r="BB32">
        <f t="shared" si="89"/>
        <v>0.0215062448287272</v>
      </c>
      <c r="BC32" s="30" t="str">
        <f t="shared" si="90"/>
        <v>-0,424566758909023+22,2934764543891i</v>
      </c>
      <c r="BD32" s="32">
        <f t="shared" si="91"/>
        <v>26.9651308166038</v>
      </c>
      <c r="BE32" s="31">
        <f t="shared" si="92"/>
        <v>91.0910341046623</v>
      </c>
      <c r="BF32" s="30" t="str">
        <f t="shared" si="93"/>
        <v>2,61809352909348+334,345952556477i</v>
      </c>
      <c r="BG32" s="68">
        <f t="shared" si="94"/>
        <v>50.484187690348</v>
      </c>
      <c r="BH32" s="31">
        <f t="shared" si="95"/>
        <v>89.5513549884306</v>
      </c>
      <c r="BI32" s="30" t="str">
        <f t="shared" si="96"/>
        <v>-4,38242841209578+1682,49812898709i</v>
      </c>
      <c r="BJ32" s="68">
        <f t="shared" si="97"/>
        <v>64.5191212636172</v>
      </c>
      <c r="BK32" s="31">
        <f t="shared" si="98"/>
        <v>90.1492388489792</v>
      </c>
      <c r="BL32" s="32">
        <f t="shared" si="99"/>
        <v>50.484187690348</v>
      </c>
      <c r="BM32" s="31">
        <f t="shared" si="100"/>
        <v>89.5513549884306</v>
      </c>
      <c r="BO32">
        <f t="shared" si="101"/>
        <v>0</v>
      </c>
      <c r="BP32">
        <f t="shared" si="102"/>
        <v>0</v>
      </c>
    </row>
    <row r="33" spans="1:68">
      <c r="N33" s="7">
        <v>15</v>
      </c>
      <c r="O33" s="18">
        <f t="shared" si="62"/>
        <v>14.1253754462275</v>
      </c>
      <c r="P33" s="86" t="str">
        <f t="shared" si="50"/>
        <v>15</v>
      </c>
      <c r="Q33" s="4" t="str">
        <f t="shared" si="51"/>
        <v>1+0,0258861025097885i</v>
      </c>
      <c r="R33" s="4">
        <f t="shared" si="63"/>
        <v>1.00033498904274</v>
      </c>
      <c r="S33" s="4">
        <f t="shared" si="64"/>
        <v>0.0258803228245978</v>
      </c>
      <c r="T33" s="4" t="str">
        <f t="shared" si="52"/>
        <v>1+0,0000177504702924264i</v>
      </c>
      <c r="U33" s="4">
        <f t="shared" si="65"/>
        <v>1.00000000015754</v>
      </c>
      <c r="V33" s="4">
        <f t="shared" si="66"/>
        <v>1.77504702905621e-5</v>
      </c>
      <c r="W33" t="str">
        <f t="shared" si="53"/>
        <v>1-0,00155316615058731i</v>
      </c>
      <c r="X33" s="4">
        <f t="shared" si="67"/>
        <v>1.00000120616182</v>
      </c>
      <c r="Y33" s="4">
        <f t="shared" si="68"/>
        <v>-0.00155316490167523</v>
      </c>
      <c r="Z33" t="str">
        <f t="shared" si="54"/>
        <v>0,999999998581147+0,0000824128977862654i</v>
      </c>
      <c r="AA33" s="4">
        <f t="shared" si="69"/>
        <v>1.00000000197709</v>
      </c>
      <c r="AB33" s="4">
        <f t="shared" si="70"/>
        <v>8.24128977166175e-5</v>
      </c>
      <c r="AC33" s="67" t="str">
        <f t="shared" si="71"/>
        <v>14,9893260436987-0,41228265909649i</v>
      </c>
      <c r="AD33" s="68">
        <f t="shared" si="72"/>
        <v>23.5189264512824</v>
      </c>
      <c r="AE33" s="31">
        <f t="shared" si="73"/>
        <v>-1.57552794822398</v>
      </c>
      <c r="AF33" s="32" t="str">
        <f t="shared" si="74"/>
        <v>75,4669735059805</v>
      </c>
      <c r="AG33" s="32" t="str">
        <f t="shared" si="55"/>
        <v>1+0,0166410658991498i</v>
      </c>
      <c r="AH33" s="32">
        <f t="shared" si="75"/>
        <v>1.00013845295252</v>
      </c>
      <c r="AI33" s="32">
        <f t="shared" si="76"/>
        <v>0.0166395300448617</v>
      </c>
      <c r="AJ33" s="32" t="str">
        <f t="shared" si="56"/>
        <v>1+0,0000177504702924264i</v>
      </c>
      <c r="AK33" s="32">
        <f t="shared" si="77"/>
        <v>1.00000000015754</v>
      </c>
      <c r="AL33" s="32">
        <f t="shared" si="78"/>
        <v>1.77504702905621e-5</v>
      </c>
      <c r="AM33" s="32" t="str">
        <f t="shared" si="57"/>
        <v>1-0,00019845629103228i</v>
      </c>
      <c r="AN33" s="32">
        <f t="shared" si="79"/>
        <v>1.00000001969245</v>
      </c>
      <c r="AO33" s="32">
        <f t="shared" si="80"/>
        <v>-0.000198456288426886</v>
      </c>
      <c r="AP33" s="30" t="str">
        <f t="shared" si="81"/>
        <v>75,4458539835465-1,26913674934398i</v>
      </c>
      <c r="AQ33" s="32">
        <f t="shared" si="82"/>
        <v>37.5539363403409</v>
      </c>
      <c r="AR33" s="31">
        <f t="shared" si="83"/>
        <v>-0.963728525364373</v>
      </c>
      <c r="AS33" t="str">
        <f t="shared" si="58"/>
        <v>-0,000338461538461538</v>
      </c>
      <c r="AT33" t="str">
        <f t="shared" si="59"/>
        <v>0,0000155364541328521i</v>
      </c>
      <c r="AU33">
        <f t="shared" si="84"/>
        <v>1.55364541328521e-5</v>
      </c>
      <c r="AV33">
        <f t="shared" si="85"/>
        <v>1.5707963267949</v>
      </c>
      <c r="AW33" t="str">
        <f t="shared" si="60"/>
        <v>1+0,00252150899004282i</v>
      </c>
      <c r="AX33">
        <f t="shared" si="86"/>
        <v>1.00000317899874</v>
      </c>
      <c r="AY33">
        <f t="shared" si="87"/>
        <v>0.00252150364613878</v>
      </c>
      <c r="AZ33" t="str">
        <f t="shared" si="61"/>
        <v>1+0,0220105831626088i</v>
      </c>
      <c r="BA33">
        <f t="shared" si="88"/>
        <v>1.0002422035543</v>
      </c>
      <c r="BB33">
        <f t="shared" si="89"/>
        <v>0.0220070297374108</v>
      </c>
      <c r="BC33" s="30" t="str">
        <f t="shared" si="90"/>
        <v>-0,424566637416842+21,7860631580622i</v>
      </c>
      <c r="BD33" s="32">
        <f t="shared" si="91"/>
        <v>26.7652242249861</v>
      </c>
      <c r="BE33" s="31">
        <f t="shared" si="92"/>
        <v>91.1164384066219</v>
      </c>
      <c r="BF33" s="30" t="str">
        <f t="shared" si="93"/>
        <v>2,6180482945321+326,733445347044i</v>
      </c>
      <c r="BG33" s="68">
        <f t="shared" si="94"/>
        <v>50.2841506762684</v>
      </c>
      <c r="BH33" s="31">
        <f t="shared" si="95"/>
        <v>89.540910458398</v>
      </c>
      <c r="BI33" s="30" t="str">
        <f t="shared" si="96"/>
        <v>-4,38229915541069+1644,20697302157i</v>
      </c>
      <c r="BJ33" s="68">
        <f t="shared" si="97"/>
        <v>64.319160565327</v>
      </c>
      <c r="BK33" s="31">
        <f t="shared" si="98"/>
        <v>90.1527098812576</v>
      </c>
      <c r="BL33" s="32">
        <f t="shared" si="99"/>
        <v>50.2841506762684</v>
      </c>
      <c r="BM33" s="31">
        <f t="shared" si="100"/>
        <v>89.540910458398</v>
      </c>
      <c r="BO33">
        <f t="shared" si="101"/>
        <v>0</v>
      </c>
      <c r="BP33">
        <f t="shared" si="102"/>
        <v>0</v>
      </c>
    </row>
    <row r="34" spans="1:68">
      <c r="A34" t="s">
        <v>450</v>
      </c>
      <c r="B34" s="88">
        <f>(Gcomp*(VOUT/IOUT)*(1-DC_VIN_Var))/(R_cs*Acs*(1+DC_VIN_Var))</f>
        <v>15</v>
      </c>
      <c r="C34" t="s">
        <v>244</v>
      </c>
      <c r="E34" t="s">
        <v>490</v>
      </c>
      <c r="N34" s="7">
        <v>16</v>
      </c>
      <c r="O34" s="18">
        <f t="shared" si="62"/>
        <v>14.4543977074593</v>
      </c>
      <c r="P34" s="86" t="str">
        <f t="shared" si="50"/>
        <v>15</v>
      </c>
      <c r="Q34" s="4" t="str">
        <f t="shared" si="51"/>
        <v>1+0,0264890672957279i</v>
      </c>
      <c r="R34" s="4">
        <f t="shared" si="63"/>
        <v>1.00035077382196</v>
      </c>
      <c r="S34" s="4">
        <f t="shared" si="64"/>
        <v>0.0264828743687474</v>
      </c>
      <c r="T34" s="4" t="str">
        <f t="shared" si="52"/>
        <v>1+0,0000181639318599277i</v>
      </c>
      <c r="U34" s="4">
        <f t="shared" si="65"/>
        <v>1.00000000016496</v>
      </c>
      <c r="V34" s="4">
        <f t="shared" si="66"/>
        <v>1.81639318579301e-5</v>
      </c>
      <c r="W34" t="str">
        <f t="shared" si="53"/>
        <v>1-0,00158934403774367i</v>
      </c>
      <c r="X34" s="4">
        <f t="shared" si="67"/>
        <v>1.00000126300644</v>
      </c>
      <c r="Y34" s="4">
        <f t="shared" si="68"/>
        <v>-0.00158934269951035</v>
      </c>
      <c r="Z34" t="str">
        <f t="shared" si="54"/>
        <v>0,999999998514278+0,0000843325407782354i</v>
      </c>
      <c r="AA34" s="4">
        <f t="shared" si="69"/>
        <v>1.00000000207027</v>
      </c>
      <c r="AB34" s="4">
        <f t="shared" si="70"/>
        <v>8.43325407036064e-5</v>
      </c>
      <c r="AC34" s="67" t="str">
        <f t="shared" si="71"/>
        <v>14,9888233483631-0,421872639957179i</v>
      </c>
      <c r="AD34" s="68">
        <f t="shared" si="72"/>
        <v>23.5187898864274</v>
      </c>
      <c r="AE34" s="31">
        <f t="shared" si="73"/>
        <v>-1.61221074160938</v>
      </c>
      <c r="AF34" s="32" t="str">
        <f t="shared" si="74"/>
        <v>75,4669735059805</v>
      </c>
      <c r="AG34" s="32" t="str">
        <f t="shared" si="55"/>
        <v>1+0,0170286861186822i</v>
      </c>
      <c r="AH34" s="32">
        <f t="shared" si="75"/>
        <v>1.00014497756622</v>
      </c>
      <c r="AI34" s="32">
        <f t="shared" si="76"/>
        <v>0.0170270404340463</v>
      </c>
      <c r="AJ34" s="32" t="str">
        <f t="shared" si="56"/>
        <v>1+0,0000181639318599277i</v>
      </c>
      <c r="AK34" s="32">
        <f t="shared" si="77"/>
        <v>1.00000000016496</v>
      </c>
      <c r="AL34" s="32">
        <f t="shared" si="78"/>
        <v>1.81639318579301e-5</v>
      </c>
      <c r="AM34" s="32" t="str">
        <f t="shared" si="57"/>
        <v>1-0,000203078931887362i</v>
      </c>
      <c r="AN34" s="32">
        <f t="shared" si="79"/>
        <v>1.00000002062053</v>
      </c>
      <c r="AO34" s="32">
        <f t="shared" si="80"/>
        <v>-0.000203078929095632</v>
      </c>
      <c r="AP34" s="30" t="str">
        <f t="shared" si="81"/>
        <v>75,4448589396577-1,29868179755961i</v>
      </c>
      <c r="AQ34" s="32">
        <f t="shared" si="82"/>
        <v>37.5538796844222</v>
      </c>
      <c r="AR34" s="31">
        <f t="shared" si="83"/>
        <v>-0.986172403379843</v>
      </c>
      <c r="AS34" t="str">
        <f t="shared" si="58"/>
        <v>-0,000338461538461538</v>
      </c>
      <c r="AT34" t="str">
        <f t="shared" si="59"/>
        <v>0,0000158983446390389i</v>
      </c>
      <c r="AU34">
        <f t="shared" si="84"/>
        <v>1.58983446390389e-5</v>
      </c>
      <c r="AV34">
        <f t="shared" si="85"/>
        <v>1.5707963267949</v>
      </c>
      <c r="AW34" t="str">
        <f t="shared" si="60"/>
        <v>1+0,00258024247948374i</v>
      </c>
      <c r="AX34">
        <f t="shared" si="86"/>
        <v>1.00000332882009</v>
      </c>
      <c r="AY34">
        <f t="shared" si="87"/>
        <v>0.00258023675338842</v>
      </c>
      <c r="AZ34" t="str">
        <f t="shared" si="61"/>
        <v>1+0,0225232755063103i</v>
      </c>
      <c r="BA34">
        <f t="shared" si="88"/>
        <v>1.00025361680902</v>
      </c>
      <c r="BB34">
        <f t="shared" si="89"/>
        <v>0.0225194679947502</v>
      </c>
      <c r="BC34" s="30" t="str">
        <f t="shared" si="90"/>
        <v>-0,424566510198985+21,2902011207654i</v>
      </c>
      <c r="BD34" s="32">
        <f t="shared" si="91"/>
        <v>26.5653220333593</v>
      </c>
      <c r="BE34" s="31">
        <f t="shared" si="92"/>
        <v>91.1424337968654</v>
      </c>
      <c r="BF34" s="30" t="str">
        <f t="shared" si="93"/>
        <v>2,618000931033+319,29417664477i</v>
      </c>
      <c r="BG34" s="68">
        <f t="shared" si="94"/>
        <v>50.0841119197867</v>
      </c>
      <c r="BH34" s="31">
        <f t="shared" si="95"/>
        <v>89.530223055256</v>
      </c>
      <c r="BI34" s="30" t="str">
        <f t="shared" si="96"/>
        <v>-4,38216381054393+1606,78759715174i</v>
      </c>
      <c r="BJ34" s="68">
        <f t="shared" si="97"/>
        <v>64.1192017177815</v>
      </c>
      <c r="BK34" s="31">
        <f t="shared" si="98"/>
        <v>90.1562613934856</v>
      </c>
      <c r="BL34" s="32">
        <f t="shared" si="99"/>
        <v>50.0841119197867</v>
      </c>
      <c r="BM34" s="31">
        <f t="shared" si="100"/>
        <v>89.530223055256</v>
      </c>
      <c r="BO34">
        <f t="shared" si="101"/>
        <v>0</v>
      </c>
      <c r="BP34">
        <f t="shared" si="102"/>
        <v>0</v>
      </c>
    </row>
    <row r="35" spans="1:68">
      <c r="A35" t="s">
        <v>442</v>
      </c>
      <c r="B35" s="89">
        <f>(1+DC_VIN_Var)/(Cout*(VOUT/IOUT))</f>
        <v>3428.57142857143</v>
      </c>
      <c r="C35" t="s">
        <v>324</v>
      </c>
      <c r="E35" t="s">
        <v>491</v>
      </c>
      <c r="N35" s="7">
        <v>17</v>
      </c>
      <c r="O35" s="18">
        <f t="shared" si="62"/>
        <v>14.7910838816821</v>
      </c>
      <c r="P35" s="86" t="str">
        <f t="shared" si="50"/>
        <v>15</v>
      </c>
      <c r="Q35" s="4" t="str">
        <f t="shared" si="51"/>
        <v>1+0,0271060769357716i</v>
      </c>
      <c r="R35" s="4">
        <f t="shared" si="63"/>
        <v>1.00036730224795</v>
      </c>
      <c r="S35" s="4">
        <f t="shared" si="64"/>
        <v>0.0270994412265397</v>
      </c>
      <c r="T35" s="4" t="str">
        <f t="shared" si="52"/>
        <v>1+0,0000185870241845291i</v>
      </c>
      <c r="U35" s="4">
        <f t="shared" si="65"/>
        <v>1.00000000017274</v>
      </c>
      <c r="V35" s="4">
        <f t="shared" si="66"/>
        <v>1.85870241823886e-5</v>
      </c>
      <c r="W35" t="str">
        <f t="shared" si="53"/>
        <v>1-0,0016263646161463i</v>
      </c>
      <c r="X35" s="4">
        <f t="shared" si="67"/>
        <v>1.00000132253006</v>
      </c>
      <c r="Y35" s="4">
        <f t="shared" si="68"/>
        <v>-0.00162636318220357</v>
      </c>
      <c r="Z35" t="str">
        <f t="shared" si="54"/>
        <v>0,999999998444258+0,0000862968979995992i</v>
      </c>
      <c r="AA35" s="4">
        <f t="shared" si="69"/>
        <v>1.00000000216784</v>
      </c>
      <c r="AB35" s="4">
        <f t="shared" si="70"/>
        <v>8.62968979196328e-5</v>
      </c>
      <c r="AC35" s="67" t="str">
        <f t="shared" si="71"/>
        <v>14,9882969957315-0,431685048743349i</v>
      </c>
      <c r="AD35" s="68">
        <f t="shared" si="72"/>
        <v>23.5186468901048</v>
      </c>
      <c r="AE35" s="31">
        <f t="shared" si="73"/>
        <v>-1.64974684573579</v>
      </c>
      <c r="AF35" s="32" t="str">
        <f t="shared" si="74"/>
        <v>75,4669735059805</v>
      </c>
      <c r="AG35" s="32" t="str">
        <f t="shared" si="55"/>
        <v>1+0,0174253351729961i</v>
      </c>
      <c r="AH35" s="32">
        <f t="shared" si="75"/>
        <v>1.00015180962986</v>
      </c>
      <c r="AI35" s="32">
        <f t="shared" si="76"/>
        <v>0.0174235718045939</v>
      </c>
      <c r="AJ35" s="32" t="str">
        <f t="shared" si="56"/>
        <v>1+0,0000185870241845291i</v>
      </c>
      <c r="AK35" s="32">
        <f t="shared" si="77"/>
        <v>1.00000000017274</v>
      </c>
      <c r="AL35" s="32">
        <f t="shared" si="78"/>
        <v>1.85870241823886e-5</v>
      </c>
      <c r="AM35" s="32" t="str">
        <f t="shared" si="57"/>
        <v>1-0,000207809247880198i</v>
      </c>
      <c r="AN35" s="32">
        <f t="shared" si="79"/>
        <v>1.00000002159234</v>
      </c>
      <c r="AO35" s="32">
        <f t="shared" si="80"/>
        <v>-0.000207809244888806</v>
      </c>
      <c r="AP35" s="30" t="str">
        <f t="shared" si="81"/>
        <v>75,4438170286245-1,32891382699636i</v>
      </c>
      <c r="AQ35" s="32">
        <f t="shared" si="82"/>
        <v>37.5538203591847</v>
      </c>
      <c r="AR35" s="31">
        <f t="shared" si="83"/>
        <v>-1.00913876308295</v>
      </c>
      <c r="AS35" t="str">
        <f t="shared" si="58"/>
        <v>-0,000338461538461538</v>
      </c>
      <c r="AT35" t="str">
        <f t="shared" si="59"/>
        <v>0,0000162686646579928i</v>
      </c>
      <c r="AU35">
        <f t="shared" si="84"/>
        <v>1.62686646579928e-5</v>
      </c>
      <c r="AV35">
        <f t="shared" si="85"/>
        <v>1.5707963267949</v>
      </c>
      <c r="AW35" t="str">
        <f t="shared" si="60"/>
        <v>1+0,00264034404764083i</v>
      </c>
      <c r="AX35">
        <f t="shared" si="86"/>
        <v>1.00000348570227</v>
      </c>
      <c r="AY35">
        <f t="shared" si="87"/>
        <v>0.00264033791202031</v>
      </c>
      <c r="AZ35" t="str">
        <f t="shared" si="61"/>
        <v>1+0,0230479099888161i</v>
      </c>
      <c r="BA35">
        <f t="shared" si="88"/>
        <v>1.00026556781429</v>
      </c>
      <c r="BB35">
        <f t="shared" si="89"/>
        <v>0.0230438302251737</v>
      </c>
      <c r="BC35" s="30" t="str">
        <f t="shared" si="90"/>
        <v>-0,424566376985618+20,8056274298811i</v>
      </c>
      <c r="BD35" s="32">
        <f t="shared" si="91"/>
        <v>26.3654244488755</v>
      </c>
      <c r="BE35" s="31">
        <f t="shared" si="92"/>
        <v>91.1690339968713</v>
      </c>
      <c r="BF35" s="30" t="str">
        <f t="shared" si="93"/>
        <v>2,61795133854204+312,02420205874i</v>
      </c>
      <c r="BG35" s="68">
        <f t="shared" si="94"/>
        <v>49.8840713389803</v>
      </c>
      <c r="BH35" s="31">
        <f t="shared" si="95"/>
        <v>89.5192871511355</v>
      </c>
      <c r="BI35" s="30" t="str">
        <f t="shared" si="96"/>
        <v>-4,38202209090524+1570,22016111453i</v>
      </c>
      <c r="BJ35" s="68">
        <f t="shared" si="97"/>
        <v>63.9192448080602</v>
      </c>
      <c r="BK35" s="31">
        <f t="shared" si="98"/>
        <v>90.1598952337884</v>
      </c>
      <c r="BL35" s="32">
        <f t="shared" si="99"/>
        <v>49.8840713389803</v>
      </c>
      <c r="BM35" s="31">
        <f t="shared" si="100"/>
        <v>89.5192871511355</v>
      </c>
      <c r="BO35">
        <f t="shared" si="101"/>
        <v>0</v>
      </c>
      <c r="BP35">
        <f t="shared" si="102"/>
        <v>0</v>
      </c>
    </row>
    <row r="36" spans="1:68">
      <c r="B36" s="90">
        <f>wp_lf/(2*PI())</f>
        <v>545.674090600784</v>
      </c>
      <c r="C36" t="s">
        <v>111</v>
      </c>
      <c r="N36" s="7">
        <v>18</v>
      </c>
      <c r="O36" s="18">
        <f t="shared" si="62"/>
        <v>15.1356124843621</v>
      </c>
      <c r="P36" s="86" t="str">
        <f t="shared" si="50"/>
        <v>15</v>
      </c>
      <c r="Q36" s="4" t="str">
        <f t="shared" si="51"/>
        <v>1+0,0277374585765981i</v>
      </c>
      <c r="R36" s="4">
        <f t="shared" si="63"/>
        <v>1.00038460934197</v>
      </c>
      <c r="S36" s="4">
        <f t="shared" si="64"/>
        <v>0.0277303484336843</v>
      </c>
      <c r="T36" s="4" t="str">
        <f t="shared" si="52"/>
        <v>1+0,0000190199715953816i</v>
      </c>
      <c r="U36" s="4">
        <f t="shared" si="65"/>
        <v>1.00000000018088</v>
      </c>
      <c r="V36" s="4">
        <f t="shared" si="66"/>
        <v>1.9019971593088e-5</v>
      </c>
      <c r="W36" t="str">
        <f t="shared" si="53"/>
        <v>1-0,00166424751459589i</v>
      </c>
      <c r="X36" s="4">
        <f t="shared" si="67"/>
        <v>1.00000138485894</v>
      </c>
      <c r="Y36" s="4">
        <f t="shared" si="68"/>
        <v>-0.00166424597809868</v>
      </c>
      <c r="Z36" t="str">
        <f t="shared" si="54"/>
        <v>0,999999998370939+0,000088307010978557i</v>
      </c>
      <c r="AA36" s="4">
        <f t="shared" si="69"/>
        <v>1.00000000227</v>
      </c>
      <c r="AB36" s="4">
        <f t="shared" si="70"/>
        <v>8.83070108928714e-5</v>
      </c>
      <c r="AC36" s="67" t="str">
        <f t="shared" si="71"/>
        <v>14,9877458741471-0,441724998534092i</v>
      </c>
      <c r="AD36" s="68">
        <f t="shared" si="72"/>
        <v>23.5184971596557</v>
      </c>
      <c r="AE36" s="31">
        <f t="shared" si="73"/>
        <v>-1.68815605522083</v>
      </c>
      <c r="AF36" s="32" t="str">
        <f t="shared" si="74"/>
        <v>75,4669735059805</v>
      </c>
      <c r="AG36" s="32" t="str">
        <f t="shared" si="55"/>
        <v>1+0,0178312233706702i</v>
      </c>
      <c r="AH36" s="32">
        <f t="shared" si="75"/>
        <v>1.00015896362873</v>
      </c>
      <c r="AI36" s="32">
        <f t="shared" si="76"/>
        <v>0.0178293339036042</v>
      </c>
      <c r="AJ36" s="32" t="str">
        <f t="shared" si="56"/>
        <v>1+0,0000190199715953816i</v>
      </c>
      <c r="AK36" s="32">
        <f t="shared" si="77"/>
        <v>1.00000000018088</v>
      </c>
      <c r="AL36" s="32">
        <f t="shared" si="78"/>
        <v>1.9019971593088e-5</v>
      </c>
      <c r="AM36" s="32" t="str">
        <f t="shared" si="57"/>
        <v>1-0,000212649747086941i</v>
      </c>
      <c r="AN36" s="32">
        <f t="shared" si="79"/>
        <v>1.00000002260996</v>
      </c>
      <c r="AO36" s="32">
        <f t="shared" si="80"/>
        <v>-0.000212649743881607</v>
      </c>
      <c r="AP36" s="30" t="str">
        <f t="shared" si="81"/>
        <v>75,4427260443499-1,35984875292607i</v>
      </c>
      <c r="AQ36" s="32">
        <f t="shared" si="82"/>
        <v>37.5537582389038</v>
      </c>
      <c r="AR36" s="31">
        <f t="shared" si="83"/>
        <v>-1.03263975294624</v>
      </c>
      <c r="AS36" t="str">
        <f t="shared" si="58"/>
        <v>-0,000338461538461538</v>
      </c>
      <c r="AT36" t="str">
        <f t="shared" si="59"/>
        <v>0,0000166476105382896i</v>
      </c>
      <c r="AU36">
        <f t="shared" si="84"/>
        <v>1.66476105382896e-5</v>
      </c>
      <c r="AV36">
        <f t="shared" si="85"/>
        <v>1.5707963267949</v>
      </c>
      <c r="AW36" t="str">
        <f t="shared" si="60"/>
        <v>1+0,00270184556116106i</v>
      </c>
      <c r="AX36">
        <f t="shared" si="86"/>
        <v>1.00000364997806</v>
      </c>
      <c r="AY36">
        <f t="shared" si="87"/>
        <v>0.00270183898672652</v>
      </c>
      <c r="AZ36" t="str">
        <f t="shared" si="61"/>
        <v>1+0,0235847647782731i</v>
      </c>
      <c r="BA36">
        <f t="shared" si="88"/>
        <v>1.00027808190005</v>
      </c>
      <c r="BB36">
        <f t="shared" si="89"/>
        <v>0.0235803932984043</v>
      </c>
      <c r="BC36" s="30" t="str">
        <f t="shared" si="90"/>
        <v>-0,424566237494188+20,3320851580219i</v>
      </c>
      <c r="BD36" s="32">
        <f t="shared" si="91"/>
        <v>26.1655316884288</v>
      </c>
      <c r="BE36" s="31">
        <f t="shared" si="92"/>
        <v>91.1962530443938</v>
      </c>
      <c r="BF36" s="30" t="str">
        <f t="shared" si="93"/>
        <v>2,61789941231658+304,919666960585i</v>
      </c>
      <c r="BG36" s="68">
        <f t="shared" si="94"/>
        <v>49.6840288480845</v>
      </c>
      <c r="BH36" s="31">
        <f t="shared" si="95"/>
        <v>89.508096989173</v>
      </c>
      <c r="BI36" s="30" t="str">
        <f t="shared" si="96"/>
        <v>-4,38187369643168+1534,48527635563i</v>
      </c>
      <c r="BJ36" s="68">
        <f t="shared" si="97"/>
        <v>63.7192899273325</v>
      </c>
      <c r="BK36" s="31">
        <f t="shared" si="98"/>
        <v>90.1636132914476</v>
      </c>
      <c r="BL36" s="32">
        <f t="shared" si="99"/>
        <v>49.6840288480845</v>
      </c>
      <c r="BM36" s="31">
        <f t="shared" si="100"/>
        <v>89.508096989173</v>
      </c>
      <c r="BO36">
        <f t="shared" si="101"/>
        <v>0</v>
      </c>
      <c r="BP36">
        <f t="shared" si="102"/>
        <v>0</v>
      </c>
    </row>
    <row r="37" spans="1:68">
      <c r="B37" s="12"/>
      <c r="C37" t="s">
        <v>492</v>
      </c>
      <c r="E37" t="s">
        <v>493</v>
      </c>
      <c r="N37" s="7">
        <v>19</v>
      </c>
      <c r="O37" s="18">
        <f t="shared" si="62"/>
        <v>15.4881661891248</v>
      </c>
      <c r="P37" s="86" t="str">
        <f t="shared" si="50"/>
        <v>15</v>
      </c>
      <c r="Q37" s="4" t="str">
        <f t="shared" si="51"/>
        <v>1+0,0283835469851105i</v>
      </c>
      <c r="R37" s="4">
        <f t="shared" si="63"/>
        <v>1.00040273177329</v>
      </c>
      <c r="S37" s="4">
        <f t="shared" si="64"/>
        <v>0.028375928495353</v>
      </c>
      <c r="T37" s="4" t="str">
        <f t="shared" si="52"/>
        <v>1+0,0000194630036469329i</v>
      </c>
      <c r="U37" s="4">
        <f t="shared" si="65"/>
        <v>1.0000000001894</v>
      </c>
      <c r="V37" s="4">
        <f t="shared" si="66"/>
        <v>1.94630036444753e-5</v>
      </c>
      <c r="W37" t="str">
        <f t="shared" si="53"/>
        <v>1-0,00170301281910663i</v>
      </c>
      <c r="X37" s="4">
        <f t="shared" si="67"/>
        <v>1.00000145012528</v>
      </c>
      <c r="Y37" s="4">
        <f t="shared" si="68"/>
        <v>-0.00170301117272034</v>
      </c>
      <c r="Z37" t="str">
        <f t="shared" si="54"/>
        <v>0,999999998294163+0,000090363945503617i</v>
      </c>
      <c r="AA37" s="4">
        <f t="shared" si="69"/>
        <v>1.00000000237698</v>
      </c>
      <c r="AB37" s="4">
        <f t="shared" si="70"/>
        <v>9.03639454118033e-5</v>
      </c>
      <c r="AC37" s="67" t="str">
        <f t="shared" si="71"/>
        <v>14,987168819878-0,451997716662593i</v>
      </c>
      <c r="AD37" s="68">
        <f t="shared" si="72"/>
        <v>23.5183403782007</v>
      </c>
      <c r="AE37" s="31">
        <f t="shared" si="73"/>
        <v>-1.72745861993601</v>
      </c>
      <c r="AF37" s="32" t="str">
        <f t="shared" si="74"/>
        <v>75,4669735059805</v>
      </c>
      <c r="AG37" s="32" t="str">
        <f t="shared" si="55"/>
        <v>1+0,0182465659189996i</v>
      </c>
      <c r="AH37" s="32">
        <f t="shared" si="75"/>
        <v>1.00016645473033</v>
      </c>
      <c r="AI37" s="32">
        <f t="shared" si="76"/>
        <v>0.0182445413367595</v>
      </c>
      <c r="AJ37" s="32" t="str">
        <f t="shared" si="56"/>
        <v>1+0,0000194630036469329i</v>
      </c>
      <c r="AK37" s="32">
        <f t="shared" si="77"/>
        <v>1.0000000001894</v>
      </c>
      <c r="AL37" s="32">
        <f t="shared" si="78"/>
        <v>1.94630036444753e-5</v>
      </c>
      <c r="AM37" s="32" t="str">
        <f t="shared" si="57"/>
        <v>1-0,000217602996004342i</v>
      </c>
      <c r="AN37" s="32">
        <f t="shared" si="79"/>
        <v>1.00000002367553</v>
      </c>
      <c r="AO37" s="32">
        <f t="shared" si="80"/>
        <v>-0.000217602992569764</v>
      </c>
      <c r="AP37" s="30" t="str">
        <f t="shared" si="81"/>
        <v>75,4415836770258-1,39150285515029i</v>
      </c>
      <c r="AQ37" s="32">
        <f t="shared" si="82"/>
        <v>37.5536931919368</v>
      </c>
      <c r="AR37" s="31">
        <f t="shared" si="83"/>
        <v>-1.05668780286648</v>
      </c>
      <c r="AS37" t="str">
        <f t="shared" si="58"/>
        <v>-0,000338461538461538</v>
      </c>
      <c r="AT37" t="str">
        <f t="shared" si="59"/>
        <v>0,000017035383202051i</v>
      </c>
      <c r="AU37">
        <f t="shared" si="84"/>
        <v>1.7035383202051e-5</v>
      </c>
      <c r="AV37">
        <f t="shared" si="85"/>
        <v>1.5707963267949</v>
      </c>
      <c r="AW37" t="str">
        <f t="shared" si="60"/>
        <v>1+0,00276477962896098i</v>
      </c>
      <c r="AX37">
        <f t="shared" si="86"/>
        <v>1.00000382199589</v>
      </c>
      <c r="AY37">
        <f t="shared" si="87"/>
        <v>0.0027647725843289</v>
      </c>
      <c r="AZ37" t="str">
        <f t="shared" si="61"/>
        <v>1+0,0241341245221968i</v>
      </c>
      <c r="BA37">
        <f t="shared" si="88"/>
        <v>1.0002911855887</v>
      </c>
      <c r="BB37">
        <f t="shared" si="89"/>
        <v>0.0241294404707657</v>
      </c>
      <c r="BC37" s="30" t="str">
        <f t="shared" si="90"/>
        <v>-0,424566091428823+19,8693232268049i</v>
      </c>
      <c r="BD37" s="32">
        <f t="shared" si="91"/>
        <v>25.9656439791129</v>
      </c>
      <c r="BE37" s="31">
        <f t="shared" si="92"/>
        <v>91.2241053005915</v>
      </c>
      <c r="BF37" s="30" t="str">
        <f t="shared" si="93"/>
        <v>2,61784504270731+297,976804440746i</v>
      </c>
      <c r="BG37" s="68">
        <f t="shared" si="94"/>
        <v>49.4839843573136</v>
      </c>
      <c r="BH37" s="31">
        <f t="shared" si="95"/>
        <v>89.4966466806555</v>
      </c>
      <c r="BI37" s="30" t="str">
        <f t="shared" si="96"/>
        <v>-4,38171831295234+1499,5639957493i</v>
      </c>
      <c r="BJ37" s="68">
        <f t="shared" si="97"/>
        <v>63.5193371710496</v>
      </c>
      <c r="BK37" s="31">
        <f t="shared" si="98"/>
        <v>90.167417497725</v>
      </c>
      <c r="BL37" s="32">
        <f t="shared" si="99"/>
        <v>49.4839843573136</v>
      </c>
      <c r="BM37" s="31">
        <f t="shared" si="100"/>
        <v>89.4966466806555</v>
      </c>
      <c r="BO37">
        <f t="shared" si="101"/>
        <v>0</v>
      </c>
      <c r="BP37">
        <f t="shared" si="102"/>
        <v>0</v>
      </c>
    </row>
    <row r="38" spans="1:68">
      <c r="A38" t="s">
        <v>494</v>
      </c>
      <c r="B38" s="89">
        <f>((VOUT/IOUT)*((1-DC_VIN_Var)^2))/(Lm*DC_VIN_Var)</f>
        <v>57142.8571428571</v>
      </c>
      <c r="C38" t="s">
        <v>324</v>
      </c>
      <c r="E38" t="s">
        <v>495</v>
      </c>
      <c r="N38" s="7">
        <v>20</v>
      </c>
      <c r="O38" s="18">
        <f t="shared" si="62"/>
        <v>15.8489319246111</v>
      </c>
      <c r="P38" s="86" t="str">
        <f t="shared" si="50"/>
        <v>15</v>
      </c>
      <c r="Q38" s="4" t="str">
        <f t="shared" si="51"/>
        <v>1+0,0290446847259351i</v>
      </c>
      <c r="R38" s="4">
        <f t="shared" si="63"/>
        <v>1.00042170793662</v>
      </c>
      <c r="S38" s="4">
        <f t="shared" si="64"/>
        <v>0.0290365215529218</v>
      </c>
      <c r="T38" s="4" t="str">
        <f t="shared" si="52"/>
        <v>1+0,0000199163552406412i</v>
      </c>
      <c r="U38" s="4">
        <f t="shared" si="65"/>
        <v>1.00000000019833</v>
      </c>
      <c r="V38" s="4">
        <f t="shared" si="66"/>
        <v>1.99163552380079e-5</v>
      </c>
      <c r="W38" t="str">
        <f t="shared" si="53"/>
        <v>1-0,00174268108355611i</v>
      </c>
      <c r="X38" s="4">
        <f t="shared" si="67"/>
        <v>1.00000151846753</v>
      </c>
      <c r="Y38" s="4">
        <f t="shared" si="68"/>
        <v>-0.00174267931942156</v>
      </c>
      <c r="Z38" t="str">
        <f t="shared" si="54"/>
        <v>0,99999999821377+0,0000924687921886912i</v>
      </c>
      <c r="AA38" s="4">
        <f t="shared" si="69"/>
        <v>1.00000000248901</v>
      </c>
      <c r="AB38" s="4">
        <f t="shared" si="70"/>
        <v>9.2468792090311e-5</v>
      </c>
      <c r="AC38" s="67" t="str">
        <f t="shared" si="71"/>
        <v>14,9865646146929-0,46250854703261i</v>
      </c>
      <c r="AD38" s="68">
        <f t="shared" si="72"/>
        <v>23.5181762139731</v>
      </c>
      <c r="AE38" s="31">
        <f t="shared" si="73"/>
        <v>-1.76767525519568</v>
      </c>
      <c r="AF38" s="32" t="str">
        <f t="shared" si="74"/>
        <v>75,4669735059805</v>
      </c>
      <c r="AG38" s="32" t="str">
        <f t="shared" si="55"/>
        <v>1+0,0186715830381012i</v>
      </c>
      <c r="AH38" s="32">
        <f t="shared" si="75"/>
        <v>1.00017429881654</v>
      </c>
      <c r="AI38" s="32">
        <f t="shared" si="76"/>
        <v>0.0186694136795636</v>
      </c>
      <c r="AJ38" s="32" t="str">
        <f t="shared" si="56"/>
        <v>1+0,0000199163552406412i</v>
      </c>
      <c r="AK38" s="32">
        <f t="shared" si="77"/>
        <v>1.00000000019833</v>
      </c>
      <c r="AL38" s="32">
        <f t="shared" si="78"/>
        <v>1.99163552380079e-5</v>
      </c>
      <c r="AM38" s="32" t="str">
        <f t="shared" si="57"/>
        <v>1-0,00022267162091054i</v>
      </c>
      <c r="AN38" s="32">
        <f t="shared" si="79"/>
        <v>1.00000002479132</v>
      </c>
      <c r="AO38" s="32">
        <f t="shared" si="80"/>
        <v>-0.000222671617230324</v>
      </c>
      <c r="AP38" s="30" t="str">
        <f t="shared" si="81"/>
        <v>75,4403875082699-1,4238927860497i</v>
      </c>
      <c r="AQ38" s="32">
        <f t="shared" si="82"/>
        <v>37.5536250804451</v>
      </c>
      <c r="AR38" s="31">
        <f t="shared" si="83"/>
        <v>-1.08129563060903</v>
      </c>
      <c r="AS38" t="str">
        <f t="shared" si="58"/>
        <v>-0,000338461538461538</v>
      </c>
      <c r="AT38" t="str">
        <f t="shared" si="59"/>
        <v>0,0000174321882514761i</v>
      </c>
      <c r="AU38">
        <f t="shared" si="84"/>
        <v>1.74321882514761e-5</v>
      </c>
      <c r="AV38">
        <f t="shared" si="85"/>
        <v>1.5707963267949</v>
      </c>
      <c r="AW38" t="str">
        <f t="shared" si="60"/>
        <v>1+0,00282917961951635i</v>
      </c>
      <c r="AX38">
        <f t="shared" si="86"/>
        <v>1.00000400212065</v>
      </c>
      <c r="AY38">
        <f t="shared" si="87"/>
        <v>0.00282917207105871</v>
      </c>
      <c r="AZ38" t="str">
        <f t="shared" si="61"/>
        <v>1+0,0246962804983951i</v>
      </c>
      <c r="BA38">
        <f t="shared" si="88"/>
        <v>1.00030490665119</v>
      </c>
      <c r="BB38">
        <f t="shared" si="89"/>
        <v>0.0246912615294832</v>
      </c>
      <c r="BC38" s="30" t="str">
        <f t="shared" si="90"/>
        <v>-0,424565938479722+19,4170962737263i</v>
      </c>
      <c r="BD38" s="32">
        <f t="shared" si="91"/>
        <v>25.7657615586993</v>
      </c>
      <c r="BE38" s="31">
        <f t="shared" si="92"/>
        <v>91.2526054573052</v>
      </c>
      <c r="BF38" s="30" t="str">
        <f t="shared" si="93"/>
        <v>2,61778811492937+291,191933311238i</v>
      </c>
      <c r="BG38" s="68">
        <f t="shared" si="94"/>
        <v>49.2839377726724</v>
      </c>
      <c r="BH38" s="31">
        <f t="shared" si="95"/>
        <v>89.4849302021095</v>
      </c>
      <c r="BI38" s="30" t="str">
        <f t="shared" si="96"/>
        <v>-4,38155561153111+1465,4378035523i</v>
      </c>
      <c r="BJ38" s="68">
        <f t="shared" si="97"/>
        <v>63.3193866391444</v>
      </c>
      <c r="BK38" s="31">
        <f t="shared" si="98"/>
        <v>90.1713098266961</v>
      </c>
      <c r="BL38" s="32">
        <f t="shared" si="99"/>
        <v>49.2839377726724</v>
      </c>
      <c r="BM38" s="31">
        <f t="shared" si="100"/>
        <v>89.4849302021095</v>
      </c>
      <c r="BO38">
        <f t="shared" si="101"/>
        <v>0</v>
      </c>
      <c r="BP38">
        <f t="shared" si="102"/>
        <v>0</v>
      </c>
    </row>
    <row r="39" spans="1:68">
      <c r="B39" s="12">
        <f>wz_rhp/2*PI()</f>
        <v>89759.7901025655</v>
      </c>
      <c r="C39" t="s">
        <v>111</v>
      </c>
      <c r="N39" s="7">
        <v>21</v>
      </c>
      <c r="O39" s="18">
        <f t="shared" si="62"/>
        <v>16.2181009735893</v>
      </c>
      <c r="P39" s="86" t="str">
        <f t="shared" si="50"/>
        <v>15</v>
      </c>
      <c r="Q39" s="4" t="str">
        <f t="shared" si="51"/>
        <v>1+0,0297212223430532i</v>
      </c>
      <c r="R39" s="4">
        <f t="shared" si="63"/>
        <v>1.0004415780332</v>
      </c>
      <c r="S39" s="4">
        <f t="shared" si="64"/>
        <v>0.0297124755540803</v>
      </c>
      <c r="T39" s="4" t="str">
        <f t="shared" si="52"/>
        <v>1+0,0000203802667495222i</v>
      </c>
      <c r="U39" s="4">
        <f t="shared" si="65"/>
        <v>1.00000000020768</v>
      </c>
      <c r="V39" s="4">
        <f t="shared" si="66"/>
        <v>2.03802667467005e-5</v>
      </c>
      <c r="W39" t="str">
        <f t="shared" si="53"/>
        <v>1-0,00178327334058319i</v>
      </c>
      <c r="X39" s="4">
        <f t="shared" si="67"/>
        <v>1.00000159003064</v>
      </c>
      <c r="Y39" s="4">
        <f t="shared" si="68"/>
        <v>-0.00178327145027913</v>
      </c>
      <c r="Z39" t="str">
        <f t="shared" si="54"/>
        <v>0,999999998129587+0,0000946226670513528i</v>
      </c>
      <c r="AA39" s="4">
        <f t="shared" si="69"/>
        <v>1.00000000260631</v>
      </c>
      <c r="AB39" s="4">
        <f t="shared" si="70"/>
        <v>9.46226669459365e-5</v>
      </c>
      <c r="AC39" s="67" t="str">
        <f t="shared" si="71"/>
        <v>14,9859319833267-0,473262952464486i</v>
      </c>
      <c r="AD39" s="68">
        <f t="shared" si="72"/>
        <v>23.5180043196227</v>
      </c>
      <c r="AE39" s="31">
        <f t="shared" si="73"/>
        <v>-1.80882715215394</v>
      </c>
      <c r="AF39" s="32" t="str">
        <f t="shared" si="74"/>
        <v>75,4669735059805</v>
      </c>
      <c r="AG39" s="32" t="str">
        <f t="shared" si="55"/>
        <v>1+0,0191065000776771i</v>
      </c>
      <c r="AH39" s="32">
        <f t="shared" si="75"/>
        <v>1.0001825125172</v>
      </c>
      <c r="AI39" s="32">
        <f t="shared" si="76"/>
        <v>0.0191041755910327</v>
      </c>
      <c r="AJ39" s="32" t="str">
        <f t="shared" si="56"/>
        <v>1+0,0000203802667495222i</v>
      </c>
      <c r="AK39" s="32">
        <f t="shared" si="77"/>
        <v>1.00000000020768</v>
      </c>
      <c r="AL39" s="32">
        <f t="shared" si="78"/>
        <v>2.03802667467005e-5</v>
      </c>
      <c r="AM39" s="32" t="str">
        <f t="shared" si="57"/>
        <v>1-0,000227858309257552i</v>
      </c>
      <c r="AN39" s="32">
        <f t="shared" si="79"/>
        <v>1.0000000259597</v>
      </c>
      <c r="AO39" s="32">
        <f t="shared" si="80"/>
        <v>-0.000227858305314129</v>
      </c>
      <c r="AP39" s="30" t="str">
        <f t="shared" si="81"/>
        <v>75,4391350060357-1,45703557878974i</v>
      </c>
      <c r="AQ39" s="32">
        <f t="shared" si="82"/>
        <v>37.553553760103</v>
      </c>
      <c r="AR39" s="31">
        <f t="shared" si="83"/>
        <v>-1.10647624839459</v>
      </c>
      <c r="AS39" t="str">
        <f t="shared" si="58"/>
        <v>-0,000338461538461538</v>
      </c>
      <c r="AT39" t="str">
        <f t="shared" si="59"/>
        <v>0,0000178382360778543i</v>
      </c>
      <c r="AU39">
        <f t="shared" si="84"/>
        <v>1.78382360778543e-5</v>
      </c>
      <c r="AV39">
        <f t="shared" si="85"/>
        <v>1.5707963267949</v>
      </c>
      <c r="AW39" t="str">
        <f t="shared" si="60"/>
        <v>1+0,00289507967855461i</v>
      </c>
      <c r="AX39">
        <f t="shared" si="86"/>
        <v>1.00000419073439</v>
      </c>
      <c r="AY39">
        <f t="shared" si="87"/>
        <v>0.00289507159023835</v>
      </c>
      <c r="AZ39" t="str">
        <f t="shared" si="61"/>
        <v>1+0,0252715307694075i</v>
      </c>
      <c r="BA39">
        <f t="shared" si="88"/>
        <v>1.00031927416572</v>
      </c>
      <c r="BB39">
        <f t="shared" si="89"/>
        <v>0.025266152940027</v>
      </c>
      <c r="BC39" s="30" t="str">
        <f t="shared" si="90"/>
        <v>-0,42456577832247+18,9751645220669i</v>
      </c>
      <c r="BD39" s="32">
        <f t="shared" si="91"/>
        <v>25.5658846761384</v>
      </c>
      <c r="BE39" s="31">
        <f t="shared" si="92"/>
        <v>91.2817685444867</v>
      </c>
      <c r="BF39" s="30" t="str">
        <f t="shared" si="93"/>
        <v>2,61772850882405+284,561456153893i</v>
      </c>
      <c r="BG39" s="68">
        <f t="shared" si="94"/>
        <v>49.083888995761</v>
      </c>
      <c r="BH39" s="31">
        <f t="shared" si="95"/>
        <v>89.4729413923328</v>
      </c>
      <c r="BI39" s="30" t="str">
        <f t="shared" si="96"/>
        <v>-4,38138524777115+1432,0886055865i</v>
      </c>
      <c r="BJ39" s="68">
        <f t="shared" si="97"/>
        <v>63.1194384362414</v>
      </c>
      <c r="BK39" s="31">
        <f t="shared" si="98"/>
        <v>90.1752922960922</v>
      </c>
      <c r="BL39" s="32">
        <f t="shared" si="99"/>
        <v>49.083888995761</v>
      </c>
      <c r="BM39" s="31">
        <f t="shared" si="100"/>
        <v>89.4729413923328</v>
      </c>
      <c r="BO39">
        <f t="shared" si="101"/>
        <v>0</v>
      </c>
      <c r="BP39">
        <f t="shared" si="102"/>
        <v>0</v>
      </c>
    </row>
    <row r="40" spans="1:68">
      <c r="B40" s="12"/>
      <c r="N40" s="7">
        <v>22</v>
      </c>
      <c r="O40" s="18">
        <f t="shared" si="62"/>
        <v>16.5958690743756</v>
      </c>
      <c r="P40" s="86" t="str">
        <f t="shared" si="50"/>
        <v>15</v>
      </c>
      <c r="Q40" s="4" t="str">
        <f t="shared" si="51"/>
        <v>1+0,0304135185456646i</v>
      </c>
      <c r="R40" s="4">
        <f t="shared" si="63"/>
        <v>1.00046238415561</v>
      </c>
      <c r="S40" s="4">
        <f t="shared" si="64"/>
        <v>0.0304041464263517</v>
      </c>
      <c r="T40" s="4" t="str">
        <f t="shared" si="52"/>
        <v>1+0,0000208549841455986i</v>
      </c>
      <c r="U40" s="4">
        <f t="shared" si="65"/>
        <v>1.00000000021747</v>
      </c>
      <c r="V40" s="4">
        <f t="shared" si="66"/>
        <v>2.08549841425751e-5</v>
      </c>
      <c r="W40" t="str">
        <f t="shared" si="53"/>
        <v>1-0,00182481111273988i</v>
      </c>
      <c r="X40" s="4">
        <f t="shared" si="67"/>
        <v>1.00000166496641</v>
      </c>
      <c r="Y40" s="4">
        <f t="shared" si="68"/>
        <v>-0.00182480908724277</v>
      </c>
      <c r="Z40" t="str">
        <f t="shared" si="54"/>
        <v>0,999999998041437+0,0000968267121045647i</v>
      </c>
      <c r="AA40" s="4">
        <f t="shared" si="69"/>
        <v>1.00000000272914</v>
      </c>
      <c r="AB40" s="4">
        <f t="shared" si="70"/>
        <v>9.68267119916091e-5</v>
      </c>
      <c r="AC40" s="67" t="str">
        <f t="shared" si="71"/>
        <v>14,9852695908283-0,484266517069574i</v>
      </c>
      <c r="AD40" s="68">
        <f t="shared" si="72"/>
        <v>23.5178243314855</v>
      </c>
      <c r="AE40" s="31">
        <f t="shared" si="73"/>
        <v>-1.85093598841191</v>
      </c>
      <c r="AF40" s="32" t="str">
        <f t="shared" si="74"/>
        <v>75,4669735059805</v>
      </c>
      <c r="AG40" s="32" t="str">
        <f t="shared" si="55"/>
        <v>1+0,0195515476364987i</v>
      </c>
      <c r="AH40" s="32">
        <f t="shared" si="75"/>
        <v>1.00019111324535</v>
      </c>
      <c r="AI40" s="32">
        <f t="shared" si="76"/>
        <v>0.0195490569298877</v>
      </c>
      <c r="AJ40" s="32" t="str">
        <f t="shared" si="56"/>
        <v>1+0,0000208549841455986i</v>
      </c>
      <c r="AK40" s="32">
        <f t="shared" si="77"/>
        <v>1.00000000021747</v>
      </c>
      <c r="AL40" s="32">
        <f t="shared" si="78"/>
        <v>2.08549841425751e-5</v>
      </c>
      <c r="AM40" s="32" t="str">
        <f t="shared" si="57"/>
        <v>1-0,000233165811096194i</v>
      </c>
      <c r="AN40" s="32">
        <f t="shared" si="79"/>
        <v>1.00000002718315</v>
      </c>
      <c r="AO40" s="32">
        <f t="shared" si="80"/>
        <v>-0.00023316580687074</v>
      </c>
      <c r="AP40" s="30" t="str">
        <f t="shared" si="81"/>
        <v>75,4378235192862-1,49094865568362i</v>
      </c>
      <c r="AQ40" s="32">
        <f t="shared" si="82"/>
        <v>37.5534790797924</v>
      </c>
      <c r="AR40" s="31">
        <f t="shared" si="83"/>
        <v>-1.13224296963082</v>
      </c>
      <c r="AS40" t="str">
        <f t="shared" si="58"/>
        <v>-0,000338461538461538</v>
      </c>
      <c r="AT40" t="str">
        <f t="shared" si="59"/>
        <v>0,0000182537419731181i</v>
      </c>
      <c r="AU40">
        <f t="shared" si="84"/>
        <v>1.82537419731181e-5</v>
      </c>
      <c r="AV40">
        <f t="shared" si="85"/>
        <v>1.5707963267949</v>
      </c>
      <c r="AW40" t="str">
        <f t="shared" si="60"/>
        <v>1+0,00296251474715936i</v>
      </c>
      <c r="AX40">
        <f t="shared" si="86"/>
        <v>1.00000438823719</v>
      </c>
      <c r="AY40">
        <f t="shared" si="87"/>
        <v>0.0029625060803744</v>
      </c>
      <c r="AZ40" t="str">
        <f t="shared" si="61"/>
        <v>1+0,0258601803405423i</v>
      </c>
      <c r="BA40">
        <f t="shared" si="88"/>
        <v>1.00033431857917</v>
      </c>
      <c r="BB40">
        <f t="shared" si="89"/>
        <v>0.0258544179965488</v>
      </c>
      <c r="BC40" s="30" t="str">
        <f t="shared" si="90"/>
        <v>-0,424565610617367+18,5432936537593i</v>
      </c>
      <c r="BD40" s="32">
        <f t="shared" si="91"/>
        <v>25.3660135920832</v>
      </c>
      <c r="BE40" s="31">
        <f t="shared" si="92"/>
        <v>91.311609937782</v>
      </c>
      <c r="BF40" s="30" t="str">
        <f t="shared" si="93"/>
        <v>2,61766609860847+278,081857413i</v>
      </c>
      <c r="BG40" s="68">
        <f t="shared" si="94"/>
        <v>48.8838379235687</v>
      </c>
      <c r="BH40" s="31">
        <f t="shared" si="95"/>
        <v>89.4606739493701</v>
      </c>
      <c r="BI40" s="30" t="str">
        <f t="shared" si="96"/>
        <v>-4,38120686109188+1399,49871964499i</v>
      </c>
      <c r="BJ40" s="68">
        <f t="shared" si="97"/>
        <v>62.9194926718756</v>
      </c>
      <c r="BK40" s="31">
        <f t="shared" si="98"/>
        <v>90.1793669681512</v>
      </c>
      <c r="BL40" s="32">
        <f t="shared" si="99"/>
        <v>48.8838379235687</v>
      </c>
      <c r="BM40" s="31">
        <f t="shared" si="100"/>
        <v>89.4606739493701</v>
      </c>
      <c r="BO40">
        <f t="shared" si="101"/>
        <v>0</v>
      </c>
      <c r="BP40">
        <f t="shared" si="102"/>
        <v>0</v>
      </c>
    </row>
    <row r="41" spans="1:68">
      <c r="A41" t="s">
        <v>443</v>
      </c>
      <c r="B41" s="89">
        <f>1/(Cout*Resr)</f>
        <v>5000000</v>
      </c>
      <c r="C41" t="s">
        <v>324</v>
      </c>
      <c r="E41" t="s">
        <v>496</v>
      </c>
      <c r="N41" s="7">
        <v>23</v>
      </c>
      <c r="O41" s="18">
        <f t="shared" si="62"/>
        <v>16.9824365246174</v>
      </c>
      <c r="P41" s="86" t="str">
        <f t="shared" si="50"/>
        <v>15</v>
      </c>
      <c r="Q41" s="4" t="str">
        <f t="shared" si="51"/>
        <v>1+0,0311219403983792i</v>
      </c>
      <c r="R41" s="4">
        <f t="shared" si="63"/>
        <v>1.0004841703766</v>
      </c>
      <c r="S41" s="4">
        <f t="shared" si="64"/>
        <v>0.0311118982540627</v>
      </c>
      <c r="T41" s="4" t="str">
        <f t="shared" si="52"/>
        <v>1+0,0000213407591303172i</v>
      </c>
      <c r="U41" s="4">
        <f t="shared" si="65"/>
        <v>1.00000000022771</v>
      </c>
      <c r="V41" s="4">
        <f t="shared" si="66"/>
        <v>2.13407591270775e-5</v>
      </c>
      <c r="W41" t="str">
        <f t="shared" si="53"/>
        <v>1-0,00186731642390276i</v>
      </c>
      <c r="X41" s="4">
        <f t="shared" si="67"/>
        <v>1.00000174343379</v>
      </c>
      <c r="Y41" s="4">
        <f t="shared" si="68"/>
        <v>-0.0018673142535437</v>
      </c>
      <c r="Z41" t="str">
        <f t="shared" si="54"/>
        <v>0,999999997949133+0,0000990820959621867i</v>
      </c>
      <c r="AA41" s="4">
        <f t="shared" si="69"/>
        <v>1.00000000285776</v>
      </c>
      <c r="AB41" s="4">
        <f t="shared" si="70"/>
        <v>9.90820958411526e-5</v>
      </c>
      <c r="AC41" s="67" t="str">
        <f t="shared" si="71"/>
        <v>14,9845760397885-0,49552494865198i</v>
      </c>
      <c r="AD41" s="68">
        <f t="shared" si="72"/>
        <v>23.5176358688212</v>
      </c>
      <c r="AE41" s="31">
        <f t="shared" si="73"/>
        <v>-1.89402393883832</v>
      </c>
      <c r="AF41" s="32" t="str">
        <f t="shared" si="74"/>
        <v>75,4669735059805</v>
      </c>
      <c r="AG41" s="32" t="str">
        <f t="shared" si="55"/>
        <v>1+0,0200069616846724i</v>
      </c>
      <c r="AH41" s="32">
        <f t="shared" si="75"/>
        <v>1.00020011923407</v>
      </c>
      <c r="AI41" s="32">
        <f t="shared" si="76"/>
        <v>0.0200042928732939</v>
      </c>
      <c r="AJ41" s="32" t="str">
        <f t="shared" si="56"/>
        <v>1+0,0000213407591303172i</v>
      </c>
      <c r="AK41" s="32">
        <f t="shared" si="77"/>
        <v>1.00000000022771</v>
      </c>
      <c r="AL41" s="32">
        <f t="shared" si="78"/>
        <v>2.13407591270775e-5</v>
      </c>
      <c r="AM41" s="32" t="str">
        <f t="shared" si="57"/>
        <v>1-0,000238596940534193i</v>
      </c>
      <c r="AN41" s="32">
        <f t="shared" si="79"/>
        <v>1.00000002846425</v>
      </c>
      <c r="AO41" s="32">
        <f t="shared" si="80"/>
        <v>-0.000238596936006538</v>
      </c>
      <c r="AP41" s="30" t="str">
        <f t="shared" si="81"/>
        <v>75,4364502724189-1,525649836714i</v>
      </c>
      <c r="AQ41" s="32">
        <f t="shared" si="82"/>
        <v>37.5534008812839</v>
      </c>
      <c r="AR41" s="31">
        <f t="shared" si="83"/>
        <v>-1.15860941579171</v>
      </c>
      <c r="AS41" t="str">
        <f t="shared" si="58"/>
        <v>-0,000338461538461538</v>
      </c>
      <c r="AT41" t="str">
        <f t="shared" si="59"/>
        <v>0,0000186789262439928i</v>
      </c>
      <c r="AU41">
        <f t="shared" si="84"/>
        <v>1.86789262439928e-5</v>
      </c>
      <c r="AV41">
        <f t="shared" si="85"/>
        <v>1.5707963267949</v>
      </c>
      <c r="AW41" t="str">
        <f t="shared" si="60"/>
        <v>1+0,00303152058029655i</v>
      </c>
      <c r="AX41">
        <f t="shared" si="86"/>
        <v>1.00000459504796</v>
      </c>
      <c r="AY41">
        <f t="shared" si="87"/>
        <v>0.00303151129367145</v>
      </c>
      <c r="AZ41" t="str">
        <f t="shared" si="61"/>
        <v>1+0,0264625413215933i</v>
      </c>
      <c r="BA41">
        <f t="shared" si="88"/>
        <v>1.00035007177148</v>
      </c>
      <c r="BB41">
        <f t="shared" si="89"/>
        <v>0.0264563669754545</v>
      </c>
      <c r="BC41" s="30" t="str">
        <f t="shared" si="90"/>
        <v>-0,424565435008707+18,1212546851497i</v>
      </c>
      <c r="BD41" s="32">
        <f t="shared" si="91"/>
        <v>25.1661485794389</v>
      </c>
      <c r="BE41" s="31">
        <f t="shared" si="92"/>
        <v>91.3421453662692</v>
      </c>
      <c r="BF41" s="30" t="str">
        <f t="shared" si="93"/>
        <v>2,6176007526144+271,749701531381i</v>
      </c>
      <c r="BG41" s="68">
        <f t="shared" si="94"/>
        <v>48.6837844482601</v>
      </c>
      <c r="BH41" s="31">
        <f t="shared" si="95"/>
        <v>89.4481214274309</v>
      </c>
      <c r="BI41" s="30" t="str">
        <f t="shared" si="96"/>
        <v>-4,38102007397077+1367,65086611673i</v>
      </c>
      <c r="BJ41" s="68">
        <f t="shared" si="97"/>
        <v>62.7195494607229</v>
      </c>
      <c r="BK41" s="31">
        <f t="shared" si="98"/>
        <v>90.1835359504775</v>
      </c>
      <c r="BL41" s="32">
        <f t="shared" si="99"/>
        <v>48.6837844482601</v>
      </c>
      <c r="BM41" s="31">
        <f t="shared" si="100"/>
        <v>89.4481214274309</v>
      </c>
      <c r="BO41">
        <f t="shared" si="101"/>
        <v>0</v>
      </c>
      <c r="BP41">
        <f t="shared" si="102"/>
        <v>0</v>
      </c>
    </row>
    <row r="42" customFormat="1" spans="1:68">
      <c r="B42" s="89"/>
      <c r="N42" s="7">
        <v>24</v>
      </c>
      <c r="O42" s="18">
        <f t="shared" si="62"/>
        <v>17.3780082874938</v>
      </c>
      <c r="P42" s="86" t="str">
        <f t="shared" si="50"/>
        <v>15</v>
      </c>
      <c r="Q42" s="4" t="str">
        <f t="shared" si="51"/>
        <v>1+0,0318468635158409i</v>
      </c>
      <c r="R42" s="4">
        <f t="shared" si="63"/>
        <v>1.0005069828421</v>
      </c>
      <c r="S42" s="4">
        <f t="shared" si="64"/>
        <v>0.031836103458804</v>
      </c>
      <c r="T42" s="4" t="str">
        <f t="shared" si="52"/>
        <v>1+0,0000218378492680052i</v>
      </c>
      <c r="U42" s="4">
        <f t="shared" si="65"/>
        <v>1.00000000023845</v>
      </c>
      <c r="V42" s="4">
        <f t="shared" si="66"/>
        <v>2.18378492645338e-5</v>
      </c>
      <c r="W42" t="str">
        <f t="shared" si="53"/>
        <v>1-0,00191081181095046i</v>
      </c>
      <c r="X42" s="4">
        <f t="shared" si="67"/>
        <v>1.00000182559922</v>
      </c>
      <c r="Y42" s="4">
        <f t="shared" si="68"/>
        <v>-0.00191080948536906</v>
      </c>
      <c r="Z42" t="str">
        <f t="shared" si="54"/>
        <v>0,999999997852479+0,000101390014458595i</v>
      </c>
      <c r="AA42" s="4">
        <f t="shared" si="69"/>
        <v>1.00000000299245</v>
      </c>
      <c r="AB42" s="4">
        <f t="shared" si="70"/>
        <v>0.000101390014328905</v>
      </c>
      <c r="AC42" s="67" t="str">
        <f t="shared" si="71"/>
        <v>14,9838498674392-0,507044081136233i</v>
      </c>
      <c r="AD42" s="68">
        <f t="shared" si="72"/>
        <v>23.5174385330136</v>
      </c>
      <c r="AE42" s="31">
        <f t="shared" si="73"/>
        <v>-1.93811368660584</v>
      </c>
      <c r="AF42" s="32" t="str">
        <f t="shared" si="74"/>
        <v>75,4669735059805</v>
      </c>
      <c r="AG42" s="32" t="str">
        <f t="shared" si="55"/>
        <v>1+0,0204729836887549i</v>
      </c>
      <c r="AH42" s="32">
        <f t="shared" si="75"/>
        <v>1.00020954957505</v>
      </c>
      <c r="AI42" s="32">
        <f t="shared" si="76"/>
        <v>0.0204701240381975</v>
      </c>
      <c r="AJ42" s="32" t="str">
        <f t="shared" si="56"/>
        <v>1+0,0000218378492680052i</v>
      </c>
      <c r="AK42" s="32">
        <f t="shared" si="77"/>
        <v>1.00000000023845</v>
      </c>
      <c r="AL42" s="32">
        <f t="shared" si="78"/>
        <v>2.18378492645338e-5</v>
      </c>
      <c r="AM42" s="32" t="str">
        <f t="shared" si="57"/>
        <v>1-0,000244154577228268i</v>
      </c>
      <c r="AN42" s="32">
        <f t="shared" si="79"/>
        <v>1.00000002980573</v>
      </c>
      <c r="AO42" s="32">
        <f t="shared" si="80"/>
        <v>-0.000244154572376798</v>
      </c>
      <c r="AP42" s="30" t="str">
        <f t="shared" si="81"/>
        <v>75,4350123594305-1,56115734821456i</v>
      </c>
      <c r="AQ42" s="32">
        <f t="shared" si="82"/>
        <v>37.5533189989029</v>
      </c>
      <c r="AR42" s="31">
        <f t="shared" si="83"/>
        <v>-1.18558952344753</v>
      </c>
      <c r="AS42" t="str">
        <f t="shared" si="58"/>
        <v>-0,000338461538461538</v>
      </c>
      <c r="AT42" t="str">
        <f t="shared" si="59"/>
        <v>0,0000191140143288069i</v>
      </c>
      <c r="AU42">
        <f t="shared" si="84"/>
        <v>1.91140143288069e-5</v>
      </c>
      <c r="AV42">
        <f t="shared" si="85"/>
        <v>1.5707963267949</v>
      </c>
      <c r="AW42" t="str">
        <f t="shared" si="60"/>
        <v>1+0,00310213376577236i</v>
      </c>
      <c r="AX42">
        <f t="shared" si="86"/>
        <v>1.00000481160537</v>
      </c>
      <c r="AY42">
        <f t="shared" si="87"/>
        <v>0.00310212381497688</v>
      </c>
      <c r="AZ42" t="str">
        <f t="shared" si="61"/>
        <v>1+0,0270789330923264i</v>
      </c>
      <c r="BA42">
        <f t="shared" si="88"/>
        <v>1.00036656712298</v>
      </c>
      <c r="BB42">
        <f t="shared" si="89"/>
        <v>0.0270723172921678</v>
      </c>
      <c r="BC42" s="30" t="str">
        <f t="shared" si="90"/>
        <v>-0,424565251124025+17,7088238455871i</v>
      </c>
      <c r="BD42" s="32">
        <f t="shared" si="91"/>
        <v>24.9662899239362</v>
      </c>
      <c r="BE42" s="31">
        <f t="shared" si="92"/>
        <v>91.3733909203551</v>
      </c>
      <c r="BF42" s="30" t="str">
        <f t="shared" si="93"/>
        <v>2,61753233301511+265,561631128843i</v>
      </c>
      <c r="BG42" s="68">
        <f t="shared" si="94"/>
        <v>48.4837284569498</v>
      </c>
      <c r="BH42" s="31">
        <f t="shared" si="95"/>
        <v>89.4352772337492</v>
      </c>
      <c r="BI42" s="30" t="str">
        <f t="shared" si="96"/>
        <v>-4,38082449115001+1336,52815882443i</v>
      </c>
      <c r="BJ42" s="68">
        <f t="shared" si="97"/>
        <v>62.519608922839</v>
      </c>
      <c r="BK42" s="31">
        <f t="shared" si="98"/>
        <v>90.1878013969075</v>
      </c>
      <c r="BL42" s="32">
        <f t="shared" si="99"/>
        <v>48.4837284569498</v>
      </c>
      <c r="BM42" s="31">
        <f t="shared" si="100"/>
        <v>89.4352772337492</v>
      </c>
      <c r="BO42">
        <f t="shared" si="101"/>
        <v>0</v>
      </c>
      <c r="BP42">
        <f t="shared" si="102"/>
        <v>0</v>
      </c>
    </row>
    <row r="43" customFormat="1" spans="1:68">
      <c r="B43" s="12"/>
      <c r="C43"/>
      <c r="D43"/>
      <c r="E43"/>
      <c r="F43"/>
      <c r="G43"/>
      <c r="N43" s="7">
        <v>25</v>
      </c>
      <c r="O43" s="18">
        <f t="shared" si="62"/>
        <v>17.7827941003892</v>
      </c>
      <c r="P43" s="86" t="str">
        <f t="shared" si="50"/>
        <v>15</v>
      </c>
      <c r="Q43" s="4" t="str">
        <f t="shared" si="51"/>
        <v>1+0,0325886722618814i</v>
      </c>
      <c r="R43" s="4">
        <f t="shared" si="63"/>
        <v>1.00053086986849</v>
      </c>
      <c r="S43" s="4">
        <f t="shared" si="64"/>
        <v>0.0325771429834132</v>
      </c>
      <c r="T43" s="4" t="str">
        <f t="shared" si="52"/>
        <v>1+0,000022346518122433i</v>
      </c>
      <c r="U43" s="4">
        <f t="shared" si="65"/>
        <v>1.00000000024968</v>
      </c>
      <c r="V43" s="4">
        <f t="shared" si="66"/>
        <v>2.23465181187133e-5</v>
      </c>
      <c r="W43" t="str">
        <f t="shared" si="53"/>
        <v>1-0,00195532033571289i</v>
      </c>
      <c r="X43" s="4">
        <f t="shared" si="67"/>
        <v>1.00000191163698</v>
      </c>
      <c r="Y43" s="4">
        <f t="shared" si="68"/>
        <v>-0.00195531784380778</v>
      </c>
      <c r="Z43" t="str">
        <f t="shared" si="54"/>
        <v>0,999999997751269+0,000103751691282724i</v>
      </c>
      <c r="AA43" s="4">
        <f t="shared" si="69"/>
        <v>1.00000000313348</v>
      </c>
      <c r="AB43" s="4">
        <f t="shared" si="70"/>
        <v>0.000103751691143758</v>
      </c>
      <c r="AC43" s="67" t="str">
        <f t="shared" si="71"/>
        <v>14,9830895426224-0,51882987701938i</v>
      </c>
      <c r="AD43" s="68">
        <f t="shared" si="72"/>
        <v>23.5172319067354</v>
      </c>
      <c r="AE43" s="31">
        <f t="shared" si="73"/>
        <v>-1.98322843444547</v>
      </c>
      <c r="AF43" s="32" t="str">
        <f t="shared" si="74"/>
        <v>75,4669735059805</v>
      </c>
      <c r="AG43" s="32" t="str">
        <f t="shared" si="55"/>
        <v>1+0,0209498607397809i</v>
      </c>
      <c r="AH43" s="32">
        <f t="shared" si="75"/>
        <v>1.00021942425901</v>
      </c>
      <c r="AI43" s="32">
        <f t="shared" si="76"/>
        <v>0.0209467966053064</v>
      </c>
      <c r="AJ43" s="32" t="str">
        <f t="shared" si="56"/>
        <v>1+0,000022346518122433i</v>
      </c>
      <c r="AK43" s="32">
        <f t="shared" si="77"/>
        <v>1.00000000024968</v>
      </c>
      <c r="AL43" s="32">
        <f t="shared" si="78"/>
        <v>2.23465181187133e-5</v>
      </c>
      <c r="AM43" s="32" t="str">
        <f t="shared" si="57"/>
        <v>1-0,000249841667910956i</v>
      </c>
      <c r="AN43" s="32">
        <f t="shared" si="79"/>
        <v>1.00000003121043</v>
      </c>
      <c r="AO43" s="32">
        <f t="shared" si="80"/>
        <v>-0.000249841662712512</v>
      </c>
      <c r="AP43" s="30" t="str">
        <f t="shared" si="81"/>
        <v>75,4335067378119-1,59748983171231i</v>
      </c>
      <c r="AQ43" s="32">
        <f t="shared" si="82"/>
        <v>37.5532332591792</v>
      </c>
      <c r="AR43" s="31">
        <f t="shared" si="83"/>
        <v>-1.21319755144796</v>
      </c>
      <c r="AS43" t="str">
        <f t="shared" si="58"/>
        <v>-0,000338461538461538</v>
      </c>
      <c r="AT43" t="str">
        <f t="shared" si="59"/>
        <v>0,000019559236917022i</v>
      </c>
      <c r="AU43">
        <f t="shared" si="84"/>
        <v>1.9559236917022e-5</v>
      </c>
      <c r="AV43">
        <f t="shared" si="85"/>
        <v>1.5707963267949</v>
      </c>
      <c r="AW43" t="str">
        <f t="shared" si="60"/>
        <v>1+0,00317439174363234i</v>
      </c>
      <c r="AX43">
        <f t="shared" si="86"/>
        <v>1.00000503836878</v>
      </c>
      <c r="AY43">
        <f t="shared" si="87"/>
        <v>0.00317438108116578</v>
      </c>
      <c r="AZ43" t="str">
        <f t="shared" si="61"/>
        <v>1+0,0277096824718169i</v>
      </c>
      <c r="BA43">
        <f t="shared" si="88"/>
        <v>1.00038383958493</v>
      </c>
      <c r="BB43">
        <f t="shared" si="89"/>
        <v>0.0277025936611222</v>
      </c>
      <c r="BC43" s="30" t="str">
        <f t="shared" si="90"/>
        <v>-0,424565058573293+17,3057824587777i</v>
      </c>
      <c r="BD43" s="32">
        <f t="shared" si="91"/>
        <v>24.7664379247329</v>
      </c>
      <c r="BE43" s="31">
        <f t="shared" si="92"/>
        <v>91.4053630598312</v>
      </c>
      <c r="BF43" s="30" t="str">
        <f t="shared" si="93"/>
        <v>2,6174606955394+259,514365222137i</v>
      </c>
      <c r="BG43" s="68">
        <f t="shared" si="94"/>
        <v>48.2836698314683</v>
      </c>
      <c r="BH43" s="31">
        <f t="shared" si="95"/>
        <v>89.4221346253857</v>
      </c>
      <c r="BI43" s="30" t="str">
        <f t="shared" si="96"/>
        <v>-4,38061969880537+1306,11409607129i</v>
      </c>
      <c r="BJ43" s="68">
        <f t="shared" si="97"/>
        <v>62.3196711839121</v>
      </c>
      <c r="BK43" s="31">
        <f t="shared" si="98"/>
        <v>90.1921655083832</v>
      </c>
      <c r="BL43" s="32">
        <f t="shared" si="99"/>
        <v>48.2836698314683</v>
      </c>
      <c r="BM43" s="31">
        <f t="shared" si="100"/>
        <v>89.4221346253857</v>
      </c>
      <c r="BO43">
        <f t="shared" si="101"/>
        <v>0</v>
      </c>
      <c r="BP43">
        <f t="shared" si="102"/>
        <v>0</v>
      </c>
    </row>
    <row r="44" customFormat="1" spans="1:68">
      <c r="A44" t="s">
        <v>497</v>
      </c>
      <c r="B44" s="12">
        <f>(Isl*(Rsl_int+R_sl)*Fsw)</f>
        <v>63750</v>
      </c>
      <c r="C44" t="s">
        <v>244</v>
      </c>
      <c r="E44" t="s">
        <v>320</v>
      </c>
      <c r="N44" s="7">
        <v>26</v>
      </c>
      <c r="O44" s="18">
        <f t="shared" si="62"/>
        <v>18.1970085860998</v>
      </c>
      <c r="P44" s="86" t="str">
        <f t="shared" si="50"/>
        <v>15</v>
      </c>
      <c r="Q44" s="4" t="str">
        <f t="shared" si="51"/>
        <v>1+0,0333477599533175i</v>
      </c>
      <c r="R44" s="4">
        <f t="shared" si="63"/>
        <v>1.00055588204453</v>
      </c>
      <c r="S44" s="4">
        <f t="shared" si="64"/>
        <v>0.0333354064795213</v>
      </c>
      <c r="T44" s="4" t="str">
        <f t="shared" si="52"/>
        <v>1+0,0000228670353965606i</v>
      </c>
      <c r="U44" s="4">
        <f t="shared" si="65"/>
        <v>1.00000000026145</v>
      </c>
      <c r="V44" s="4">
        <f t="shared" si="66"/>
        <v>2.28670353925749e-5</v>
      </c>
      <c r="W44" t="str">
        <f t="shared" si="53"/>
        <v>1-0,00200086559719905i</v>
      </c>
      <c r="X44" s="4">
        <f t="shared" si="67"/>
        <v>1.00000200172957</v>
      </c>
      <c r="Y44" s="4">
        <f t="shared" si="68"/>
        <v>-0.00200086292707491</v>
      </c>
      <c r="Z44" t="str">
        <f t="shared" si="54"/>
        <v>0,99999999764529+0,000106168378626888i</v>
      </c>
      <c r="AA44" s="4">
        <f t="shared" si="69"/>
        <v>1.00000000328115</v>
      </c>
      <c r="AB44" s="4">
        <f t="shared" si="70"/>
        <v>0.000106168378477983</v>
      </c>
      <c r="AC44" s="67" t="str">
        <f t="shared" si="71"/>
        <v>14,9822934626188-0,530888429845856i</v>
      </c>
      <c r="AD44" s="68">
        <f t="shared" si="72"/>
        <v>23.5170155530729</v>
      </c>
      <c r="AE44" s="31">
        <f t="shared" si="73"/>
        <v>-2.02939191612178</v>
      </c>
      <c r="AF44" s="32" t="str">
        <f t="shared" si="74"/>
        <v>75,4669735059805</v>
      </c>
      <c r="AG44" s="32" t="str">
        <f t="shared" si="55"/>
        <v>1+0,0214378456842756i</v>
      </c>
      <c r="AH44" s="32">
        <f t="shared" si="75"/>
        <v>1.00022976421799</v>
      </c>
      <c r="AI44" s="32">
        <f t="shared" si="76"/>
        <v>0.0214345624457648</v>
      </c>
      <c r="AJ44" s="32" t="str">
        <f t="shared" si="56"/>
        <v>1+0,0000228670353965606i</v>
      </c>
      <c r="AK44" s="32">
        <f t="shared" si="77"/>
        <v>1.00000000026145</v>
      </c>
      <c r="AL44" s="32">
        <f t="shared" si="78"/>
        <v>2.28670353925749e-5</v>
      </c>
      <c r="AM44" s="32" t="str">
        <f t="shared" si="57"/>
        <v>1-0,000255661227953017i</v>
      </c>
      <c r="AN44" s="32">
        <f t="shared" si="79"/>
        <v>1.00000003268133</v>
      </c>
      <c r="AO44" s="32">
        <f t="shared" si="80"/>
        <v>-0.000255661222382784</v>
      </c>
      <c r="AP44" s="30" t="str">
        <f t="shared" si="81"/>
        <v>75,4319302221572-1,63466635293165i</v>
      </c>
      <c r="AQ44" s="32">
        <f t="shared" si="82"/>
        <v>37.5531434804815</v>
      </c>
      <c r="AR44" s="31">
        <f t="shared" si="83"/>
        <v>-1.24144808826165</v>
      </c>
      <c r="AS44" t="str">
        <f t="shared" si="58"/>
        <v>-0,000338461538461538</v>
      </c>
      <c r="AT44" t="str">
        <f t="shared" si="59"/>
        <v>0,0000200148300715476i</v>
      </c>
      <c r="AU44">
        <f t="shared" si="84"/>
        <v>2.00148300715476e-5</v>
      </c>
      <c r="AV44">
        <f t="shared" si="85"/>
        <v>1.5707963267949</v>
      </c>
      <c r="AW44" t="str">
        <f t="shared" si="60"/>
        <v>1+0,00324833282601286i</v>
      </c>
      <c r="AX44">
        <f t="shared" si="86"/>
        <v>1.00000527581916</v>
      </c>
      <c r="AY44">
        <f t="shared" si="87"/>
        <v>0.00324832140097735</v>
      </c>
      <c r="AZ44" t="str">
        <f t="shared" si="61"/>
        <v>1+0,0283551238917351i</v>
      </c>
      <c r="BA44">
        <f t="shared" si="88"/>
        <v>1.0004019257533</v>
      </c>
      <c r="BB44">
        <f t="shared" si="89"/>
        <v>0.0283475282590348</v>
      </c>
      <c r="BC44" s="30" t="str">
        <f t="shared" si="90"/>
        <v>-0,424564856948113+16,9119168268394i</v>
      </c>
      <c r="BD44" s="32">
        <f t="shared" si="91"/>
        <v>24.5665928950427</v>
      </c>
      <c r="BE44" s="31">
        <f t="shared" si="92"/>
        <v>91.4380786220925</v>
      </c>
      <c r="BF44" s="30" t="str">
        <f t="shared" si="93"/>
        <v>2,61738568917308+253,604697485382i</v>
      </c>
      <c r="BG44" s="68">
        <f t="shared" si="94"/>
        <v>48.0836084481156</v>
      </c>
      <c r="BH44" s="31">
        <f t="shared" si="95"/>
        <v>89.4086867059707</v>
      </c>
      <c r="BI44" s="30" t="str">
        <f t="shared" si="96"/>
        <v>-4,38040526367726+1276,39255189137i</v>
      </c>
      <c r="BJ44" s="68">
        <f t="shared" si="97"/>
        <v>62.1197363755243</v>
      </c>
      <c r="BK44" s="31">
        <f t="shared" si="98"/>
        <v>90.1966305338308</v>
      </c>
      <c r="BL44" s="32">
        <f t="shared" si="99"/>
        <v>48.0836084481156</v>
      </c>
      <c r="BM44" s="31">
        <f t="shared" si="100"/>
        <v>89.4086867059707</v>
      </c>
      <c r="BO44">
        <f t="shared" si="101"/>
        <v>0</v>
      </c>
      <c r="BP44">
        <f t="shared" si="102"/>
        <v>0</v>
      </c>
    </row>
    <row r="45" spans="1:68">
      <c r="A45" t="s">
        <v>498</v>
      </c>
      <c r="B45" s="12">
        <f>(R_cs*VIN_var*Acs)/Lm</f>
        <v>20000</v>
      </c>
      <c r="C45" t="s">
        <v>244</v>
      </c>
      <c r="E45" t="s">
        <v>322</v>
      </c>
      <c r="N45" s="7">
        <v>27</v>
      </c>
      <c r="O45" s="18">
        <f t="shared" si="62"/>
        <v>18.6208713666287</v>
      </c>
      <c r="P45" s="86" t="str">
        <f t="shared" si="50"/>
        <v>15</v>
      </c>
      <c r="Q45" s="4" t="str">
        <f t="shared" si="51"/>
        <v>1+0,0341245290684906i</v>
      </c>
      <c r="R45" s="4">
        <f t="shared" si="63"/>
        <v>1.00058207233797</v>
      </c>
      <c r="S45" s="4">
        <f t="shared" si="64"/>
        <v>0.0341112924986859</v>
      </c>
      <c r="T45" s="4" t="str">
        <f t="shared" si="52"/>
        <v>1+0,0000233996770755364i</v>
      </c>
      <c r="U45" s="4">
        <f t="shared" si="65"/>
        <v>1.00000000027377</v>
      </c>
      <c r="V45" s="4">
        <f t="shared" si="66"/>
        <v>2.33996770712656e-5</v>
      </c>
      <c r="W45" t="str">
        <f t="shared" si="53"/>
        <v>1-0,00204747174410944i</v>
      </c>
      <c r="X45" s="4">
        <f t="shared" si="67"/>
        <v>1.00000209606807</v>
      </c>
      <c r="Y45" s="4">
        <f t="shared" si="68"/>
        <v>-0.0020474688830202</v>
      </c>
      <c r="Z45" t="str">
        <f t="shared" si="54"/>
        <v>0,999999997534316+0,000108641357850704i</v>
      </c>
      <c r="AA45" s="4">
        <f t="shared" si="69"/>
        <v>1.00000000343579</v>
      </c>
      <c r="AB45" s="4">
        <f t="shared" si="70"/>
        <v>0.00010864135769115</v>
      </c>
      <c r="AC45" s="67" t="str">
        <f t="shared" si="71"/>
        <v>14,9814599498332-0,543225966703169i</v>
      </c>
      <c r="AD45" s="68">
        <f t="shared" si="72"/>
        <v>23.5167890146112</v>
      </c>
      <c r="AE45" s="31">
        <f t="shared" si="73"/>
        <v>-2.07662840813051</v>
      </c>
      <c r="AF45" s="32" t="str">
        <f t="shared" si="74"/>
        <v>75,4669735059805</v>
      </c>
      <c r="AG45" s="32" t="str">
        <f t="shared" si="55"/>
        <v>1+0,0219371972583154i</v>
      </c>
      <c r="AH45" s="32">
        <f t="shared" si="75"/>
        <v>1.00024059136967</v>
      </c>
      <c r="AI45" s="32">
        <f t="shared" si="76"/>
        <v>0.0219336792505686</v>
      </c>
      <c r="AJ45" s="32" t="str">
        <f t="shared" si="56"/>
        <v>1+0,0000233996770755364i</v>
      </c>
      <c r="AK45" s="32">
        <f t="shared" si="77"/>
        <v>1.00000000027377</v>
      </c>
      <c r="AL45" s="32">
        <f t="shared" si="78"/>
        <v>2.33996770712656e-5</v>
      </c>
      <c r="AM45" s="32" t="str">
        <f t="shared" si="57"/>
        <v>1-0,000261616342962214i</v>
      </c>
      <c r="AN45" s="32">
        <f t="shared" si="79"/>
        <v>1.00000003422155</v>
      </c>
      <c r="AO45" s="32">
        <f t="shared" si="80"/>
        <v>-0.000261616336993602</v>
      </c>
      <c r="AP45" s="30" t="str">
        <f t="shared" si="81"/>
        <v>75,430279477477-1,67270641096043i</v>
      </c>
      <c r="AQ45" s="32">
        <f t="shared" si="82"/>
        <v>37.5530494726339</v>
      </c>
      <c r="AR45" s="31">
        <f t="shared" si="83"/>
        <v>-1.27035605947451</v>
      </c>
      <c r="AS45" t="str">
        <f t="shared" si="58"/>
        <v>-0,000338461538461538</v>
      </c>
      <c r="AT45" t="str">
        <f t="shared" si="59"/>
        <v>0,0000204810353539048i</v>
      </c>
      <c r="AU45">
        <f t="shared" si="84"/>
        <v>2.04810353539048e-5</v>
      </c>
      <c r="AV45">
        <f t="shared" si="85"/>
        <v>1.5707963267949</v>
      </c>
      <c r="AW45" t="str">
        <f t="shared" si="60"/>
        <v>1+0,0033239962174545i</v>
      </c>
      <c r="AX45">
        <f t="shared" si="86"/>
        <v>1.00000552446017</v>
      </c>
      <c r="AY45">
        <f t="shared" si="87"/>
        <v>0.00332398397531204</v>
      </c>
      <c r="AZ45" t="str">
        <f t="shared" si="61"/>
        <v>1+0,0290155995736651i</v>
      </c>
      <c r="BA45">
        <f t="shared" si="88"/>
        <v>1.00042086394608</v>
      </c>
      <c r="BB45">
        <f t="shared" si="89"/>
        <v>0.0290074608915017</v>
      </c>
      <c r="BC45" s="30" t="str">
        <f t="shared" si="90"/>
        <v>-0,424564645820838+16,5270181169965i</v>
      </c>
      <c r="BD45" s="32">
        <f t="shared" si="91"/>
        <v>24.3667551627938</v>
      </c>
      <c r="BE45" s="31">
        <f t="shared" si="92"/>
        <v>91.4715548305194</v>
      </c>
      <c r="BF45" s="30" t="str">
        <f t="shared" si="93"/>
        <v>2,61730715584621+247,829494550105i</v>
      </c>
      <c r="BG45" s="68">
        <f t="shared" si="94"/>
        <v>47.8835441774051</v>
      </c>
      <c r="BH45" s="31">
        <f t="shared" si="95"/>
        <v>89.3949264223888</v>
      </c>
      <c r="BI45" s="30" t="str">
        <f t="shared" si="96"/>
        <v>-4,38018073216263+1247,3477674993i</v>
      </c>
      <c r="BJ45" s="68">
        <f t="shared" si="97"/>
        <v>61.9198046354277</v>
      </c>
      <c r="BK45" s="31">
        <f t="shared" si="98"/>
        <v>90.2011987710448</v>
      </c>
      <c r="BL45" s="32">
        <f t="shared" si="99"/>
        <v>47.8835441774051</v>
      </c>
      <c r="BM45" s="31">
        <f t="shared" si="100"/>
        <v>89.3949264223888</v>
      </c>
      <c r="BO45">
        <f t="shared" si="101"/>
        <v>0</v>
      </c>
      <c r="BP45">
        <f t="shared" si="102"/>
        <v>0</v>
      </c>
    </row>
    <row r="46" spans="1:68">
      <c r="B46" s="12"/>
      <c r="N46" s="7">
        <v>28</v>
      </c>
      <c r="O46" s="18">
        <f t="shared" si="62"/>
        <v>19.0546071796325</v>
      </c>
      <c r="P46" s="86" t="str">
        <f t="shared" si="50"/>
        <v>15</v>
      </c>
      <c r="Q46" s="4" t="str">
        <f t="shared" si="51"/>
        <v>1+0,0349193914606673i</v>
      </c>
      <c r="R46" s="4">
        <f t="shared" si="63"/>
        <v>1.00060949620718</v>
      </c>
      <c r="S46" s="4">
        <f t="shared" si="64"/>
        <v>0.0349052086871472</v>
      </c>
      <c r="T46" s="4" t="str">
        <f t="shared" si="52"/>
        <v>1+0,000023944725573029i</v>
      </c>
      <c r="U46" s="4">
        <f t="shared" si="65"/>
        <v>1.00000000028667</v>
      </c>
      <c r="V46" s="4">
        <f t="shared" si="66"/>
        <v>2.39447255684528e-5</v>
      </c>
      <c r="W46" t="str">
        <f t="shared" si="53"/>
        <v>1-0,00209516348764004i</v>
      </c>
      <c r="X46" s="4">
        <f t="shared" si="67"/>
        <v>1.00000219485261</v>
      </c>
      <c r="Y46" s="4">
        <f t="shared" si="68"/>
        <v>-0.00209516042192805</v>
      </c>
      <c r="Z46" t="str">
        <f t="shared" si="54"/>
        <v>0,999999997418112+0,000111171940160491i</v>
      </c>
      <c r="AA46" s="4">
        <f t="shared" si="69"/>
        <v>1.00000000359771</v>
      </c>
      <c r="AB46" s="4">
        <f t="shared" si="70"/>
        <v>0.000111171939989526</v>
      </c>
      <c r="AC46" s="67" t="str">
        <f t="shared" si="71"/>
        <v>14,9805872483291-0,555848850736392i</v>
      </c>
      <c r="AD46" s="68">
        <f t="shared" si="72"/>
        <v>23.5165518124769</v>
      </c>
      <c r="AE46" s="31">
        <f t="shared" si="73"/>
        <v>-2.12496274162125</v>
      </c>
      <c r="AF46" s="32" t="str">
        <f t="shared" si="74"/>
        <v>75,4669735059805</v>
      </c>
      <c r="AG46" s="32" t="str">
        <f t="shared" si="55"/>
        <v>1+0,0224481802247147i</v>
      </c>
      <c r="AH46" s="32">
        <f t="shared" si="75"/>
        <v>1.00025192866367</v>
      </c>
      <c r="AI46" s="32">
        <f t="shared" si="76"/>
        <v>0.0224444106627741</v>
      </c>
      <c r="AJ46" s="32" t="str">
        <f t="shared" si="56"/>
        <v>1+0,000023944725573029i</v>
      </c>
      <c r="AK46" s="32">
        <f t="shared" si="77"/>
        <v>1.00000000028667</v>
      </c>
      <c r="AL46" s="32">
        <f t="shared" si="78"/>
        <v>2.39447255684528e-5</v>
      </c>
      <c r="AM46" s="32" t="str">
        <f t="shared" si="57"/>
        <v>1-0,000267710170419352i</v>
      </c>
      <c r="AN46" s="32">
        <f t="shared" si="79"/>
        <v>1.00000003583437</v>
      </c>
      <c r="AO46" s="32">
        <f t="shared" si="80"/>
        <v>-0.000267710164023869</v>
      </c>
      <c r="AP46" s="30" t="str">
        <f t="shared" si="81"/>
        <v>75,4285510122011-1,71162994757887i</v>
      </c>
      <c r="AQ46" s="32">
        <f t="shared" si="82"/>
        <v>37.5529510365145</v>
      </c>
      <c r="AR46" s="31">
        <f t="shared" si="83"/>
        <v>-1.29993673545003</v>
      </c>
      <c r="AS46" t="str">
        <f t="shared" si="58"/>
        <v>-0,000338461538461538</v>
      </c>
      <c r="AT46" t="str">
        <f t="shared" si="59"/>
        <v>0,0000209580999523052i</v>
      </c>
      <c r="AU46">
        <f t="shared" si="84"/>
        <v>2.09580999523052e-5</v>
      </c>
      <c r="AV46">
        <f t="shared" si="85"/>
        <v>1.5707963267949</v>
      </c>
      <c r="AW46" t="str">
        <f t="shared" si="60"/>
        <v>1+0,00340142203568892i</v>
      </c>
      <c r="AX46">
        <f t="shared" si="86"/>
        <v>1.0000057848192</v>
      </c>
      <c r="AY46">
        <f t="shared" si="87"/>
        <v>0.00340140891800104</v>
      </c>
      <c r="AZ46" t="str">
        <f t="shared" si="61"/>
        <v>1+0,029691459710556i</v>
      </c>
      <c r="BA46">
        <f t="shared" si="88"/>
        <v>1.00044069428415</v>
      </c>
      <c r="BB46">
        <f t="shared" si="89"/>
        <v>0.0296827391629601</v>
      </c>
      <c r="BC46" s="30" t="str">
        <f t="shared" si="90"/>
        <v>-0,424564424743664+16,1508822508541i</v>
      </c>
      <c r="BD46" s="32">
        <f t="shared" si="91"/>
        <v>24.1669250713175</v>
      </c>
      <c r="BE46" s="31">
        <f t="shared" si="92"/>
        <v>91.5058093030257</v>
      </c>
      <c r="BF46" s="30" t="str">
        <f t="shared" si="93"/>
        <v>2,61722493010693+242,185694343967i</v>
      </c>
      <c r="BG46" s="68">
        <f t="shared" si="94"/>
        <v>47.6834768837944</v>
      </c>
      <c r="BH46" s="31">
        <f t="shared" si="95"/>
        <v>89.3808465614044</v>
      </c>
      <c r="BI46" s="30" t="str">
        <f t="shared" si="96"/>
        <v>-4,37994562936137+1218,96434293467i</v>
      </c>
      <c r="BJ46" s="68">
        <f t="shared" si="97"/>
        <v>61.719876107832</v>
      </c>
      <c r="BK46" s="31">
        <f t="shared" si="98"/>
        <v>90.2058725675757</v>
      </c>
      <c r="BL46" s="32">
        <f t="shared" si="99"/>
        <v>47.6834768837944</v>
      </c>
      <c r="BM46" s="31">
        <f t="shared" si="100"/>
        <v>89.3808465614044</v>
      </c>
      <c r="BO46">
        <f t="shared" si="101"/>
        <v>0</v>
      </c>
      <c r="BP46">
        <f t="shared" si="102"/>
        <v>0</v>
      </c>
    </row>
    <row r="47" spans="1:68">
      <c r="A47" t="s">
        <v>499</v>
      </c>
      <c r="B47" s="12">
        <f>2*PI()*Fsw</f>
        <v>4712388.98038469</v>
      </c>
      <c r="C47" t="s">
        <v>324</v>
      </c>
      <c r="N47" s="7">
        <v>29</v>
      </c>
      <c r="O47" s="18">
        <f t="shared" si="62"/>
        <v>19.4984459975805</v>
      </c>
      <c r="P47" s="86" t="str">
        <f t="shared" si="50"/>
        <v>15</v>
      </c>
      <c r="Q47" s="4" t="str">
        <f t="shared" si="51"/>
        <v>1+0,0357327685764093i</v>
      </c>
      <c r="R47" s="4">
        <f t="shared" si="63"/>
        <v>1.00063821171797</v>
      </c>
      <c r="S47" s="4">
        <f t="shared" si="64"/>
        <v>0.0357175719842287</v>
      </c>
      <c r="T47" s="4" t="str">
        <f t="shared" si="52"/>
        <v>1+0,0000245024698809664i</v>
      </c>
      <c r="U47" s="4">
        <f t="shared" si="65"/>
        <v>1.00000000030019</v>
      </c>
      <c r="V47" s="4">
        <f t="shared" si="66"/>
        <v>2.45024698760629e-5</v>
      </c>
      <c r="W47" t="str">
        <f t="shared" si="53"/>
        <v>1-0,00214396611458456i</v>
      </c>
      <c r="X47" s="4">
        <f t="shared" si="67"/>
        <v>1.00000229829271</v>
      </c>
      <c r="Y47" s="4">
        <f t="shared" si="68"/>
        <v>-0.00214396282961538</v>
      </c>
      <c r="Z47" t="str">
        <f t="shared" si="54"/>
        <v>0,999999997296431+0,000113761467304487i</v>
      </c>
      <c r="AA47" s="4">
        <f t="shared" si="69"/>
        <v>1.00000000376727</v>
      </c>
      <c r="AB47" s="4">
        <f t="shared" si="70"/>
        <v>0.000113761467121294</v>
      </c>
      <c r="AC47" s="67" t="str">
        <f t="shared" si="71"/>
        <v>14,9796735202058-0,568763583679097i</v>
      </c>
      <c r="AD47" s="68">
        <f t="shared" si="72"/>
        <v>23.5163034453357</v>
      </c>
      <c r="AE47" s="31">
        <f t="shared" si="73"/>
        <v>-2.17442031454662</v>
      </c>
      <c r="AF47" s="32" t="str">
        <f t="shared" si="74"/>
        <v>75,4669735059805</v>
      </c>
      <c r="AG47" s="32" t="str">
        <f t="shared" si="55"/>
        <v>1+0,022971065513406i</v>
      </c>
      <c r="AH47" s="32">
        <f t="shared" si="75"/>
        <v>1.00026380013016</v>
      </c>
      <c r="AI47" s="32">
        <f t="shared" si="76"/>
        <v>0.0229670264125451</v>
      </c>
      <c r="AJ47" s="32" t="str">
        <f t="shared" si="56"/>
        <v>1+0,0000245024698809664i</v>
      </c>
      <c r="AK47" s="32">
        <f t="shared" si="77"/>
        <v>1.00000000030019</v>
      </c>
      <c r="AL47" s="32">
        <f t="shared" si="78"/>
        <v>2.45024698760629e-5</v>
      </c>
      <c r="AM47" s="32" t="str">
        <f t="shared" si="57"/>
        <v>1-0,00027394594135241i</v>
      </c>
      <c r="AN47" s="32">
        <f t="shared" si="79"/>
        <v>1.00000003752319</v>
      </c>
      <c r="AO47" s="32">
        <f t="shared" si="80"/>
        <v>-0.000273945934499527</v>
      </c>
      <c r="AP47" s="30" t="str">
        <f t="shared" si="81"/>
        <v>75,4267411708555-1,75145735675122i</v>
      </c>
      <c r="AQ47" s="32">
        <f t="shared" si="82"/>
        <v>37.5528479636357</v>
      </c>
      <c r="AR47" s="31">
        <f t="shared" si="83"/>
        <v>-1.33020573915437</v>
      </c>
      <c r="AS47" t="str">
        <f t="shared" si="58"/>
        <v>-0,000338461538461538</v>
      </c>
      <c r="AT47" t="str">
        <f t="shared" si="59"/>
        <v>0,0000214462768127135i</v>
      </c>
      <c r="AU47">
        <f t="shared" si="84"/>
        <v>2.14462768127135e-5</v>
      </c>
      <c r="AV47">
        <f t="shared" si="85"/>
        <v>1.5707963267949</v>
      </c>
      <c r="AW47" t="str">
        <f t="shared" si="60"/>
        <v>1+0,00348065133290982i</v>
      </c>
      <c r="AX47">
        <f t="shared" si="86"/>
        <v>1.0000060574485</v>
      </c>
      <c r="AY47">
        <f t="shared" si="87"/>
        <v>0.00348063727705861</v>
      </c>
      <c r="AZ47" t="str">
        <f t="shared" si="61"/>
        <v>1+0,0303830626523983i</v>
      </c>
      <c r="BA47">
        <f t="shared" si="88"/>
        <v>1.00046145877597</v>
      </c>
      <c r="BB47">
        <f t="shared" si="89"/>
        <v>0.0303737186500591</v>
      </c>
      <c r="BC47" s="30" t="str">
        <f t="shared" si="90"/>
        <v>-0,424564193247689+15,7833097961924i</v>
      </c>
      <c r="BD47" s="32">
        <f t="shared" si="91"/>
        <v>23.9671029800692</v>
      </c>
      <c r="BE47" s="31">
        <f t="shared" si="92"/>
        <v>91.5408600607748</v>
      </c>
      <c r="BF47" s="30" t="str">
        <f t="shared" si="93"/>
        <v>2,61713883877984+236,670304467281i</v>
      </c>
      <c r="BG47" s="68">
        <f t="shared" si="94"/>
        <v>47.4834064254048</v>
      </c>
      <c r="BH47" s="31">
        <f t="shared" si="95"/>
        <v>89.3664397462282</v>
      </c>
      <c r="BI47" s="30" t="str">
        <f t="shared" si="96"/>
        <v>-4,37969945808173+1191,22722889651i</v>
      </c>
      <c r="BJ47" s="68">
        <f t="shared" si="97"/>
        <v>61.5199509437049</v>
      </c>
      <c r="BK47" s="31">
        <f t="shared" si="98"/>
        <v>90.2106543216205</v>
      </c>
      <c r="BL47" s="32">
        <f t="shared" si="99"/>
        <v>47.4834064254048</v>
      </c>
      <c r="BM47" s="31">
        <f t="shared" si="100"/>
        <v>89.3664397462282</v>
      </c>
      <c r="BO47">
        <f t="shared" si="101"/>
        <v>0</v>
      </c>
      <c r="BP47">
        <f t="shared" si="102"/>
        <v>0</v>
      </c>
    </row>
    <row r="48" spans="1:68">
      <c r="A48" t="s">
        <v>500</v>
      </c>
      <c r="B48" s="12">
        <f>1/(PI()*(((1-DC_VIN_Var)*(1+(B44/B45)))-0.5))</f>
        <v>0.45706034939211</v>
      </c>
      <c r="N48" s="7">
        <v>30</v>
      </c>
      <c r="O48" s="18">
        <f t="shared" si="62"/>
        <v>19.9526231496888</v>
      </c>
      <c r="P48" s="86" t="str">
        <f t="shared" si="50"/>
        <v>15</v>
      </c>
      <c r="Q48" s="4" t="str">
        <f t="shared" si="51"/>
        <v>1+0,0365650916790297i</v>
      </c>
      <c r="R48" s="4">
        <f t="shared" si="63"/>
        <v>1.00066827966589</v>
      </c>
      <c r="S48" s="4">
        <f t="shared" si="64"/>
        <v>0.0365488088244033</v>
      </c>
      <c r="T48" s="4" t="str">
        <f t="shared" si="52"/>
        <v>1+0,0000250732057227632i</v>
      </c>
      <c r="U48" s="4">
        <f t="shared" si="65"/>
        <v>1.00000000031433</v>
      </c>
      <c r="V48" s="4">
        <f t="shared" si="66"/>
        <v>2.5073205717509e-5</v>
      </c>
      <c r="W48" t="str">
        <f t="shared" si="53"/>
        <v>1-0,00219390550074178i</v>
      </c>
      <c r="X48" s="4">
        <f t="shared" si="67"/>
        <v>1.00000240660778</v>
      </c>
      <c r="Y48" s="4">
        <f t="shared" si="68"/>
        <v>-0.00219390198083435</v>
      </c>
      <c r="Z48" t="str">
        <f t="shared" si="54"/>
        <v>0,999999997169016+0,000116411312284257i</v>
      </c>
      <c r="AA48" s="4">
        <f t="shared" si="69"/>
        <v>1.00000000394481</v>
      </c>
      <c r="AB48" s="4">
        <f t="shared" si="70"/>
        <v>0.000116411312087963</v>
      </c>
      <c r="AC48" s="67" t="str">
        <f t="shared" si="71"/>
        <v>14,9787168418112-0,581976808398112i</v>
      </c>
      <c r="AD48" s="68">
        <f t="shared" si="72"/>
        <v>23.5160433883443</v>
      </c>
      <c r="AE48" s="31">
        <f t="shared" si="73"/>
        <v>-2.22502710403975</v>
      </c>
      <c r="AF48" s="32" t="str">
        <f t="shared" si="74"/>
        <v>75,4669735059805</v>
      </c>
      <c r="AG48" s="32" t="str">
        <f t="shared" si="55"/>
        <v>1+0,0235061303650905i</v>
      </c>
      <c r="AH48" s="32">
        <f t="shared" si="75"/>
        <v>1.00027623093061</v>
      </c>
      <c r="AI48" s="32">
        <f t="shared" si="76"/>
        <v>0.0235018024550905</v>
      </c>
      <c r="AJ48" s="32" t="str">
        <f t="shared" si="56"/>
        <v>1+0,0000250732057227632i</v>
      </c>
      <c r="AK48" s="32">
        <f t="shared" si="77"/>
        <v>1.00000000031433</v>
      </c>
      <c r="AL48" s="32">
        <f t="shared" si="78"/>
        <v>2.5073205717509e-5</v>
      </c>
      <c r="AM48" s="32" t="str">
        <f t="shared" si="57"/>
        <v>1-0,000280326962049676i</v>
      </c>
      <c r="AN48" s="32">
        <f t="shared" si="79"/>
        <v>1.0000000392916</v>
      </c>
      <c r="AO48" s="32">
        <f t="shared" si="80"/>
        <v>-0.000280326954706679</v>
      </c>
      <c r="AP48" s="30" t="str">
        <f t="shared" si="81"/>
        <v>75,4248461264008-1,79220949428009i</v>
      </c>
      <c r="AQ48" s="32">
        <f t="shared" si="82"/>
        <v>37.5527400357044</v>
      </c>
      <c r="AR48" s="31">
        <f t="shared" si="83"/>
        <v>-1.36117905414885</v>
      </c>
      <c r="AS48" t="str">
        <f t="shared" si="58"/>
        <v>-0,000338461538461538</v>
      </c>
      <c r="AT48" t="str">
        <f t="shared" si="59"/>
        <v>0,0000219458247729629i</v>
      </c>
      <c r="AU48">
        <f t="shared" si="84"/>
        <v>2.19458247729629e-5</v>
      </c>
      <c r="AV48">
        <f t="shared" si="85"/>
        <v>1.5707963267949</v>
      </c>
      <c r="AW48" t="str">
        <f t="shared" si="60"/>
        <v>1+0,00356172611753929i</v>
      </c>
      <c r="AX48">
        <f t="shared" si="86"/>
        <v>1.00000634292635</v>
      </c>
      <c r="AY48">
        <f t="shared" si="87"/>
        <v>0.00356171105642853</v>
      </c>
      <c r="AZ48" t="str">
        <f t="shared" si="61"/>
        <v>1+0,0310907750962264i</v>
      </c>
      <c r="BA48">
        <f t="shared" si="88"/>
        <v>1.00048320140624</v>
      </c>
      <c r="BB48">
        <f t="shared" si="89"/>
        <v>0.0310807630784793</v>
      </c>
      <c r="BC48" s="30" t="str">
        <f t="shared" si="90"/>
        <v>-0,424563950841921+15,4241058612255i</v>
      </c>
      <c r="BD48" s="32">
        <f t="shared" si="91"/>
        <v>23.7672892653832</v>
      </c>
      <c r="BE48" s="31">
        <f t="shared" si="92"/>
        <v>91.5767255370645</v>
      </c>
      <c r="BF48" s="30" t="str">
        <f t="shared" si="93"/>
        <v>2,61704870060885+231,280400606489i</v>
      </c>
      <c r="BG48" s="68">
        <f t="shared" si="94"/>
        <v>47.2833326537275</v>
      </c>
      <c r="BH48" s="31">
        <f t="shared" si="95"/>
        <v>89.3516984330247</v>
      </c>
      <c r="BI48" s="30" t="str">
        <f t="shared" si="96"/>
        <v>-4,37944169779916+1164,12171876388i</v>
      </c>
      <c r="BJ48" s="68">
        <f t="shared" si="97"/>
        <v>61.3200293010876</v>
      </c>
      <c r="BK48" s="31">
        <f t="shared" si="98"/>
        <v>90.2155464829156</v>
      </c>
      <c r="BL48" s="32">
        <f t="shared" si="99"/>
        <v>47.2833326537275</v>
      </c>
      <c r="BM48" s="31">
        <f t="shared" si="100"/>
        <v>89.3516984330247</v>
      </c>
      <c r="BO48">
        <f t="shared" si="101"/>
        <v>0</v>
      </c>
      <c r="BP48">
        <f t="shared" si="102"/>
        <v>0</v>
      </c>
    </row>
    <row r="49" spans="1:68">
      <c r="N49" s="7">
        <v>31</v>
      </c>
      <c r="O49" s="18">
        <f t="shared" si="62"/>
        <v>20.4173794466953</v>
      </c>
      <c r="P49" s="86" t="str">
        <f t="shared" si="50"/>
        <v>15</v>
      </c>
      <c r="Q49" s="4" t="str">
        <f t="shared" si="51"/>
        <v>1+0,0374168020772542i</v>
      </c>
      <c r="R49" s="4">
        <f t="shared" si="63"/>
        <v>1.00069976370422</v>
      </c>
      <c r="S49" s="4">
        <f t="shared" si="64"/>
        <v>0.0373993553430463</v>
      </c>
      <c r="T49" s="4" t="str">
        <f t="shared" si="52"/>
        <v>1+0,0000256572357101172i</v>
      </c>
      <c r="U49" s="4">
        <f t="shared" si="65"/>
        <v>1.00000000032915</v>
      </c>
      <c r="V49" s="4">
        <f t="shared" si="66"/>
        <v>2.56572357044872e-5</v>
      </c>
      <c r="W49" t="str">
        <f t="shared" si="53"/>
        <v>1-0,00224500812463526i</v>
      </c>
      <c r="X49" s="4">
        <f t="shared" si="67"/>
        <v>1.00000252002756</v>
      </c>
      <c r="Y49" s="4">
        <f t="shared" si="68"/>
        <v>-0.00224500435298701</v>
      </c>
      <c r="Z49" t="str">
        <f t="shared" si="54"/>
        <v>0,999999997035595+0,000119122880082687i</v>
      </c>
      <c r="AA49" s="4">
        <f t="shared" si="69"/>
        <v>1.00000000413073</v>
      </c>
      <c r="AB49" s="4">
        <f t="shared" si="70"/>
        <v>0.000119122879872354</v>
      </c>
      <c r="AC49" s="67" t="str">
        <f t="shared" si="71"/>
        <v>14,9777151997842-0,595495311449375i</v>
      </c>
      <c r="AD49" s="68">
        <f t="shared" si="72"/>
        <v>23.5157710920546</v>
      </c>
      <c r="AE49" s="31">
        <f t="shared" si="73"/>
        <v>-2.27680967902154</v>
      </c>
      <c r="AF49" s="32" t="str">
        <f t="shared" si="74"/>
        <v>75,4669735059805</v>
      </c>
      <c r="AG49" s="32" t="str">
        <f t="shared" si="55"/>
        <v>1+0,0240536584782349i</v>
      </c>
      <c r="AH49" s="32">
        <f t="shared" si="75"/>
        <v>1.00028924741106</v>
      </c>
      <c r="AI49" s="32">
        <f t="shared" si="76"/>
        <v>0.0240490211115403</v>
      </c>
      <c r="AJ49" s="32" t="str">
        <f t="shared" si="56"/>
        <v>1+0,0000256572357101172i</v>
      </c>
      <c r="AK49" s="32">
        <f t="shared" si="77"/>
        <v>1.00000000032915</v>
      </c>
      <c r="AL49" s="32">
        <f t="shared" si="78"/>
        <v>2.56572357044872e-5</v>
      </c>
      <c r="AM49" s="32" t="str">
        <f t="shared" si="57"/>
        <v>1-0,000286856615812786i</v>
      </c>
      <c r="AN49" s="32">
        <f t="shared" si="79"/>
        <v>1.00000004114336</v>
      </c>
      <c r="AO49" s="32">
        <f t="shared" si="80"/>
        <v>-0.000286856607944623</v>
      </c>
      <c r="AP49" s="30" t="str">
        <f t="shared" si="81"/>
        <v>75,4228618722148-1,83390768762333i</v>
      </c>
      <c r="AQ49" s="32">
        <f t="shared" si="82"/>
        <v>37.5526270241619</v>
      </c>
      <c r="AR49" s="31">
        <f t="shared" si="83"/>
        <v>-1.3928730327531</v>
      </c>
      <c r="AS49" t="str">
        <f t="shared" si="58"/>
        <v>-0,000338461538461538</v>
      </c>
      <c r="AT49" t="str">
        <f t="shared" si="59"/>
        <v>0,0000224570086999944i</v>
      </c>
      <c r="AU49">
        <f t="shared" si="84"/>
        <v>2.24570086999944e-5</v>
      </c>
      <c r="AV49">
        <f t="shared" si="85"/>
        <v>1.5707963267949</v>
      </c>
      <c r="AW49" t="str">
        <f t="shared" si="60"/>
        <v>1+0,00364468937650128i</v>
      </c>
      <c r="AX49">
        <f t="shared" si="86"/>
        <v>1.00000664185827</v>
      </c>
      <c r="AY49">
        <f t="shared" si="87"/>
        <v>0.00364467323823613</v>
      </c>
      <c r="AZ49" t="str">
        <f t="shared" si="61"/>
        <v>1+0,0318149722805453i</v>
      </c>
      <c r="BA49">
        <f t="shared" si="88"/>
        <v>1.00050596822868</v>
      </c>
      <c r="BB49">
        <f t="shared" si="89"/>
        <v>0.0318042445032385</v>
      </c>
      <c r="BC49" s="30" t="str">
        <f t="shared" si="90"/>
        <v>-0,42456369701221+15,073079991267i</v>
      </c>
      <c r="BD49" s="32">
        <f t="shared" si="91"/>
        <v>23.5674843212617</v>
      </c>
      <c r="BE49" s="31">
        <f t="shared" si="92"/>
        <v>91.6134245863825</v>
      </c>
      <c r="BF49" s="30" t="str">
        <f t="shared" si="93"/>
        <v>2,61695432588453+226,013124983745i</v>
      </c>
      <c r="BG49" s="68">
        <f t="shared" si="94"/>
        <v>47.0832554133162</v>
      </c>
      <c r="BH49" s="31">
        <f t="shared" si="95"/>
        <v>89.336614907361</v>
      </c>
      <c r="BI49" s="30" t="str">
        <f t="shared" si="96"/>
        <v>-4,37917180356282+1137,63344079801i</v>
      </c>
      <c r="BJ49" s="68">
        <f t="shared" si="97"/>
        <v>61.1201113454236</v>
      </c>
      <c r="BK49" s="31">
        <f t="shared" si="98"/>
        <v>90.2205515536294</v>
      </c>
      <c r="BL49" s="32">
        <f t="shared" si="99"/>
        <v>47.0832554133162</v>
      </c>
      <c r="BM49" s="31">
        <f t="shared" si="100"/>
        <v>89.336614907361</v>
      </c>
      <c r="BO49">
        <f t="shared" si="101"/>
        <v>0</v>
      </c>
      <c r="BP49">
        <f t="shared" si="102"/>
        <v>0</v>
      </c>
    </row>
    <row r="50" ht="15.75" spans="1:68">
      <c r="A50" s="87" t="s">
        <v>438</v>
      </c>
      <c r="N50" s="7">
        <v>32</v>
      </c>
      <c r="O50" s="18">
        <f t="shared" si="62"/>
        <v>20.8929613085404</v>
      </c>
      <c r="P50" s="86" t="str">
        <f t="shared" si="50"/>
        <v>15</v>
      </c>
      <c r="Q50" s="4" t="str">
        <f t="shared" si="51"/>
        <v>1+0,0382883513592104i</v>
      </c>
      <c r="R50" s="4">
        <f t="shared" si="63"/>
        <v>1.00073273047793</v>
      </c>
      <c r="S50" s="4">
        <f t="shared" si="64"/>
        <v>0.038269657585888</v>
      </c>
      <c r="T50" s="4" t="str">
        <f t="shared" si="52"/>
        <v>1+0,0000262548695034586i</v>
      </c>
      <c r="U50" s="4">
        <f t="shared" si="65"/>
        <v>1.00000000034466</v>
      </c>
      <c r="V50" s="4">
        <f t="shared" si="66"/>
        <v>2.62548694974259e-5</v>
      </c>
      <c r="W50" t="str">
        <f t="shared" si="53"/>
        <v>1-0,00229730108155263i</v>
      </c>
      <c r="X50" s="4">
        <f t="shared" si="67"/>
        <v>1.00000263879265</v>
      </c>
      <c r="Y50" s="4">
        <f t="shared" si="68"/>
        <v>-0.00229729704015929</v>
      </c>
      <c r="Z50" t="str">
        <f t="shared" si="54"/>
        <v>0,999999996895887+0,000121897608408915i</v>
      </c>
      <c r="AA50" s="4">
        <f t="shared" si="69"/>
        <v>1.0000000043254</v>
      </c>
      <c r="AB50" s="4">
        <f t="shared" si="70"/>
        <v>0.000121897608183539</v>
      </c>
      <c r="AC50" s="67" t="str">
        <f t="shared" si="71"/>
        <v>14,9766664869178-0,60932602564172i</v>
      </c>
      <c r="AD50" s="68">
        <f t="shared" si="72"/>
        <v>23.5154859812655</v>
      </c>
      <c r="AE50" s="31">
        <f t="shared" si="73"/>
        <v>-2.32979521303901</v>
      </c>
      <c r="AF50" s="32" t="str">
        <f t="shared" si="74"/>
        <v>75,4669735059805</v>
      </c>
      <c r="AG50" s="32" t="str">
        <f t="shared" si="55"/>
        <v>1+0,0246139401594925i</v>
      </c>
      <c r="AH50" s="32">
        <f t="shared" si="75"/>
        <v>1.0003028771578</v>
      </c>
      <c r="AI50" s="32">
        <f t="shared" si="76"/>
        <v>0.0246089712128092</v>
      </c>
      <c r="AJ50" s="32" t="str">
        <f t="shared" si="56"/>
        <v>1+0,0000262548695034586i</v>
      </c>
      <c r="AK50" s="32">
        <f t="shared" si="77"/>
        <v>1.00000000034466</v>
      </c>
      <c r="AL50" s="32">
        <f t="shared" si="78"/>
        <v>2.62548694974259e-5</v>
      </c>
      <c r="AM50" s="32" t="str">
        <f t="shared" si="57"/>
        <v>1-0,000293538364750598i</v>
      </c>
      <c r="AN50" s="32">
        <f t="shared" si="79"/>
        <v>1.00000004308238</v>
      </c>
      <c r="AO50" s="32">
        <f t="shared" si="80"/>
        <v>-0.00029353835631971</v>
      </c>
      <c r="AP50" s="30" t="str">
        <f t="shared" si="81"/>
        <v>75,4207842137044-1,87657374587252i</v>
      </c>
      <c r="AQ50" s="32">
        <f t="shared" si="82"/>
        <v>37.5525086897023</v>
      </c>
      <c r="AR50" s="31">
        <f t="shared" si="83"/>
        <v>-1.42530440438137</v>
      </c>
      <c r="AS50" t="str">
        <f t="shared" si="58"/>
        <v>-0,000338461538461538</v>
      </c>
      <c r="AT50" t="str">
        <f t="shared" si="59"/>
        <v>0,0000229800996302921i</v>
      </c>
      <c r="AU50">
        <f t="shared" si="84"/>
        <v>2.29800996302921e-5</v>
      </c>
      <c r="AV50">
        <f t="shared" si="85"/>
        <v>1.5707963267949</v>
      </c>
      <c r="AW50" t="str">
        <f t="shared" si="60"/>
        <v>1+0,00372958509801389i</v>
      </c>
      <c r="AX50">
        <f t="shared" si="86"/>
        <v>1.00000695487832</v>
      </c>
      <c r="AY50">
        <f t="shared" si="87"/>
        <v>0.00372956780555773</v>
      </c>
      <c r="AZ50" t="str">
        <f t="shared" si="61"/>
        <v>1+0,0325560381842887i</v>
      </c>
      <c r="BA50">
        <f t="shared" si="88"/>
        <v>1.00052980746315</v>
      </c>
      <c r="BB50">
        <f t="shared" si="89"/>
        <v>0.0325445434925246</v>
      </c>
      <c r="BC50" s="30" t="str">
        <f t="shared" si="90"/>
        <v>-0,424563431220208+14,7300460677485i</v>
      </c>
      <c r="BD50" s="32">
        <f t="shared" si="91"/>
        <v>23.3676885602014</v>
      </c>
      <c r="BE50" s="31">
        <f t="shared" si="92"/>
        <v>91.6509764936353</v>
      </c>
      <c r="BF50" s="30" t="str">
        <f t="shared" si="93"/>
        <v>2,61685551605412+220,865684841782i</v>
      </c>
      <c r="BG50" s="68">
        <f t="shared" si="94"/>
        <v>46.8831745414669</v>
      </c>
      <c r="BH50" s="31">
        <f t="shared" si="95"/>
        <v>89.3211812805963</v>
      </c>
      <c r="BI50" s="30" t="str">
        <f t="shared" ref="BI50:BI113" si="103">IMPRODUCT(AP50,BC50)</f>
        <v>-4,37888920485965+1111,74835052207i</v>
      </c>
      <c r="BJ50" s="68">
        <f t="shared" si="97"/>
        <v>60.9201972499036</v>
      </c>
      <c r="BK50" s="31">
        <f t="shared" ref="BK50:BK113" si="104">(180/PI())*IMARGUMENT(BI50)</f>
        <v>90.2256720892539</v>
      </c>
      <c r="BL50" s="32">
        <f t="shared" si="99"/>
        <v>46.8831745414669</v>
      </c>
      <c r="BM50" s="31">
        <f t="shared" si="100"/>
        <v>89.3211812805963</v>
      </c>
      <c r="BO50">
        <f t="shared" si="101"/>
        <v>0</v>
      </c>
      <c r="BP50">
        <f t="shared" si="102"/>
        <v>0</v>
      </c>
    </row>
    <row r="51" spans="1:68">
      <c r="A51" t="s">
        <v>501</v>
      </c>
      <c r="N51" s="7">
        <v>33</v>
      </c>
      <c r="O51" s="18">
        <f t="shared" si="62"/>
        <v>21.3796208950223</v>
      </c>
      <c r="P51" s="86" t="str">
        <f t="shared" si="50"/>
        <v>15</v>
      </c>
      <c r="Q51" s="4" t="str">
        <f t="shared" si="51"/>
        <v>1+0,0391802016318632i</v>
      </c>
      <c r="R51" s="4">
        <f t="shared" si="63"/>
        <v>1.00076724976386</v>
      </c>
      <c r="S51" s="4">
        <f t="shared" si="64"/>
        <v>0.0391601717221708</v>
      </c>
      <c r="T51" s="4" t="str">
        <f t="shared" si="52"/>
        <v>1+0,0000268664239761348i</v>
      </c>
      <c r="U51" s="4">
        <f t="shared" si="65"/>
        <v>1.0000000003609</v>
      </c>
      <c r="V51" s="4">
        <f t="shared" si="66"/>
        <v>2.68664239696707e-5</v>
      </c>
      <c r="W51" t="str">
        <f t="shared" si="53"/>
        <v>1-0,0023508120979118i</v>
      </c>
      <c r="X51" s="4">
        <f t="shared" si="67"/>
        <v>1.00000276315494</v>
      </c>
      <c r="Y51" s="4">
        <f t="shared" si="68"/>
        <v>-0.00235080776748146</v>
      </c>
      <c r="Z51" t="str">
        <f t="shared" si="54"/>
        <v>0,999999996749595+0,000124736968460625i</v>
      </c>
      <c r="AA51" s="4">
        <f t="shared" si="69"/>
        <v>1.00000000452925</v>
      </c>
      <c r="AB51" s="4">
        <f t="shared" si="70"/>
        <v>0.00012473696821913</v>
      </c>
      <c r="AC51" s="67" t="str">
        <f t="shared" si="71"/>
        <v>14,975568497836-0,62347603260508i</v>
      </c>
      <c r="AD51" s="68">
        <f t="shared" si="72"/>
        <v>23.5151874538238</v>
      </c>
      <c r="AE51" s="31">
        <f t="shared" si="73"/>
        <v>-2.38401149733534</v>
      </c>
      <c r="AF51" s="32" t="str">
        <f t="shared" si="74"/>
        <v>75,4669735059805</v>
      </c>
      <c r="AG51" s="32" t="str">
        <f t="shared" si="55"/>
        <v>1+0,0251872724776264i</v>
      </c>
      <c r="AH51" s="32">
        <f t="shared" si="75"/>
        <v>1.00031714905567</v>
      </c>
      <c r="AI51" s="32">
        <f t="shared" si="76"/>
        <v>0.025181948246495</v>
      </c>
      <c r="AJ51" s="32" t="str">
        <f t="shared" si="56"/>
        <v>1+0,0000268664239761348i</v>
      </c>
      <c r="AK51" s="32">
        <f t="shared" si="77"/>
        <v>1.0000000003609</v>
      </c>
      <c r="AL51" s="32">
        <f t="shared" si="78"/>
        <v>2.68664239696707e-5</v>
      </c>
      <c r="AM51" s="32" t="str">
        <f t="shared" si="57"/>
        <v>1-0,000300375751614838i</v>
      </c>
      <c r="AN51" s="32">
        <f t="shared" si="79"/>
        <v>1.0000000451128</v>
      </c>
      <c r="AO51" s="32">
        <f t="shared" si="80"/>
        <v>-0.000300375742580978</v>
      </c>
      <c r="AP51" s="30" t="str">
        <f t="shared" si="81"/>
        <v>75,4186087595293-1,92022996989231i</v>
      </c>
      <c r="AQ51" s="32">
        <f t="shared" si="82"/>
        <v>37.5523847817681</v>
      </c>
      <c r="AR51" s="31">
        <f t="shared" si="83"/>
        <v>-1.45849028405495</v>
      </c>
      <c r="AS51" t="str">
        <f t="shared" si="58"/>
        <v>-0,000338461538461538</v>
      </c>
      <c r="AT51" t="str">
        <f t="shared" si="59"/>
        <v>0,0000235153749135915i</v>
      </c>
      <c r="AU51">
        <f t="shared" si="84"/>
        <v>2.35153749135915e-5</v>
      </c>
      <c r="AV51">
        <f t="shared" si="85"/>
        <v>1.5707963267949</v>
      </c>
      <c r="AW51" t="str">
        <f t="shared" si="60"/>
        <v>1+0,00381645829491234i</v>
      </c>
      <c r="AX51">
        <f t="shared" si="86"/>
        <v>1.00000728265044</v>
      </c>
      <c r="AY51">
        <f t="shared" si="87"/>
        <v>0.00381643976571901</v>
      </c>
      <c r="AZ51" t="str">
        <f t="shared" si="61"/>
        <v>1+0,0333143657304071i</v>
      </c>
      <c r="BA51">
        <f t="shared" si="88"/>
        <v>1.00055476959736</v>
      </c>
      <c r="BB51">
        <f t="shared" si="89"/>
        <v>0.0333020493150811</v>
      </c>
      <c r="BC51" s="30" t="str">
        <f t="shared" si="90"/>
        <v>-0,424563152902162+14,3948222095367i</v>
      </c>
      <c r="BD51" s="32">
        <f t="shared" si="91"/>
        <v>23.1679024140575</v>
      </c>
      <c r="BE51" s="31">
        <f t="shared" si="92"/>
        <v>91.6894009835491</v>
      </c>
      <c r="BF51" s="30" t="str">
        <f t="shared" si="93"/>
        <v>2,61675206331389+215,83535096325i</v>
      </c>
      <c r="BG51" s="68">
        <f t="shared" si="94"/>
        <v>46.6830898678813</v>
      </c>
      <c r="BH51" s="31">
        <f t="shared" si="95"/>
        <v>89.3053894862138</v>
      </c>
      <c r="BI51" s="30" t="str">
        <f t="shared" si="103"/>
        <v>-4,37859330441657+1086,45272327435i</v>
      </c>
      <c r="BJ51" s="68">
        <f t="shared" si="97"/>
        <v>60.7202871958256</v>
      </c>
      <c r="BK51" s="31">
        <f t="shared" si="104"/>
        <v>90.2309106994941</v>
      </c>
      <c r="BL51" s="32">
        <f t="shared" si="99"/>
        <v>46.6830898678813</v>
      </c>
      <c r="BM51" s="31">
        <f t="shared" si="100"/>
        <v>89.3053894862138</v>
      </c>
      <c r="BO51">
        <f t="shared" si="101"/>
        <v>0</v>
      </c>
      <c r="BP51">
        <f t="shared" si="102"/>
        <v>0</v>
      </c>
    </row>
    <row r="52" spans="1:68">
      <c r="A52" t="s">
        <v>291</v>
      </c>
      <c r="B52" s="15">
        <f>RFBT</f>
        <v>15000</v>
      </c>
      <c r="C52" s="16" t="s">
        <v>35</v>
      </c>
      <c r="E52" t="s">
        <v>502</v>
      </c>
      <c r="N52" s="7">
        <v>34</v>
      </c>
      <c r="O52" s="18">
        <f t="shared" si="62"/>
        <v>21.8776162394955</v>
      </c>
      <c r="P52" s="86" t="str">
        <f t="shared" si="50"/>
        <v>15</v>
      </c>
      <c r="Q52" s="4" t="str">
        <f t="shared" si="51"/>
        <v>1+0,0400928257660327i</v>
      </c>
      <c r="R52" s="4">
        <f t="shared" si="63"/>
        <v>1.0008033946175</v>
      </c>
      <c r="S52" s="4">
        <f t="shared" si="64"/>
        <v>0.0400713642615228</v>
      </c>
      <c r="T52" s="4" t="str">
        <f t="shared" si="52"/>
        <v>1+0,0000274922233824224i</v>
      </c>
      <c r="U52" s="4">
        <f t="shared" si="65"/>
        <v>1.00000000037791</v>
      </c>
      <c r="V52" s="4">
        <f t="shared" si="66"/>
        <v>2.7492223375496e-5</v>
      </c>
      <c r="W52" t="str">
        <f t="shared" si="53"/>
        <v>1-0,00240556954596196i</v>
      </c>
      <c r="X52" s="4">
        <f t="shared" si="67"/>
        <v>1.00000289337823</v>
      </c>
      <c r="Y52" s="4">
        <f t="shared" si="68"/>
        <v>-0.00240556490582298</v>
      </c>
      <c r="Z52" t="str">
        <f t="shared" si="54"/>
        <v>0,999999996596408+0,000127642465704104i</v>
      </c>
      <c r="AA52" s="4">
        <f t="shared" si="69"/>
        <v>1.00000000474271</v>
      </c>
      <c r="AB52" s="4">
        <f t="shared" si="70"/>
        <v>0.000127642465445338</v>
      </c>
      <c r="AC52" s="67" t="str">
        <f t="shared" si="71"/>
        <v>14,974418924477-0,63795256535959i</v>
      </c>
      <c r="AD52" s="68">
        <f t="shared" si="72"/>
        <v>23.5148748793683</v>
      </c>
      <c r="AE52" s="31">
        <f t="shared" si="73"/>
        <v>-2.43948695415287</v>
      </c>
      <c r="AF52" s="32" t="str">
        <f t="shared" si="74"/>
        <v>75,4669735059805</v>
      </c>
      <c r="AG52" s="32" t="str">
        <f t="shared" si="55"/>
        <v>1+0,025773959421021i</v>
      </c>
      <c r="AH52" s="32">
        <f t="shared" si="75"/>
        <v>1.00033209334912</v>
      </c>
      <c r="AI52" s="32">
        <f t="shared" si="76"/>
        <v>0.0257682545068644</v>
      </c>
      <c r="AJ52" s="32" t="str">
        <f t="shared" si="56"/>
        <v>1+0,0000274922233824224i</v>
      </c>
      <c r="AK52" s="32">
        <f t="shared" si="77"/>
        <v>1.00000000037791</v>
      </c>
      <c r="AL52" s="32">
        <f t="shared" si="78"/>
        <v>2.7492223375496e-5</v>
      </c>
      <c r="AM52" s="32" t="str">
        <f t="shared" si="57"/>
        <v>1-0,000307372401678528i</v>
      </c>
      <c r="AN52" s="32">
        <f t="shared" si="79"/>
        <v>1.0000000472389</v>
      </c>
      <c r="AO52" s="32">
        <f t="shared" si="80"/>
        <v>-0.000307372391998573</v>
      </c>
      <c r="AP52" s="30" t="str">
        <f t="shared" si="81"/>
        <v>75,4163309124191-1,9648991626193i</v>
      </c>
      <c r="AQ52" s="32">
        <f t="shared" si="82"/>
        <v>37.5522550380228</v>
      </c>
      <c r="AR52" s="31">
        <f t="shared" si="83"/>
        <v>-1.4924481810938</v>
      </c>
      <c r="AS52" t="str">
        <f t="shared" si="58"/>
        <v>-0,000338461538461538</v>
      </c>
      <c r="AT52" t="str">
        <f t="shared" si="59"/>
        <v>0,0000240631183599328i</v>
      </c>
      <c r="AU52">
        <f t="shared" si="84"/>
        <v>2.40631183599328e-5</v>
      </c>
      <c r="AV52">
        <f t="shared" si="85"/>
        <v>1.5707963267949</v>
      </c>
      <c r="AW52" t="str">
        <f t="shared" si="60"/>
        <v>1+0,00390535502851555i</v>
      </c>
      <c r="AX52">
        <f t="shared" si="86"/>
        <v>1.00000762586987</v>
      </c>
      <c r="AY52">
        <f t="shared" si="87"/>
        <v>0.00390533517413537</v>
      </c>
      <c r="AZ52" t="str">
        <f t="shared" si="61"/>
        <v>1+0,0340903569942038i</v>
      </c>
      <c r="BA52">
        <f t="shared" si="88"/>
        <v>1.00058090749324</v>
      </c>
      <c r="BB52">
        <f t="shared" si="89"/>
        <v>0.0340771601311886</v>
      </c>
      <c r="BC52" s="30" t="str">
        <f t="shared" si="90"/>
        <v>-0,424562861467786+14,0672306764984i</v>
      </c>
      <c r="BD52" s="32">
        <f t="shared" si="91"/>
        <v>22.968126334949</v>
      </c>
      <c r="BE52" s="31">
        <f t="shared" si="92"/>
        <v>91.7287182302466</v>
      </c>
      <c r="BF52" s="30" t="str">
        <f t="shared" si="93"/>
        <v>2,61664375018395+210,919456223771i</v>
      </c>
      <c r="BG52" s="68">
        <f t="shared" si="94"/>
        <v>46.4830012143172</v>
      </c>
      <c r="BH52" s="31">
        <f t="shared" si="95"/>
        <v>89.2892312760938</v>
      </c>
      <c r="BI52" s="30" t="str">
        <f t="shared" si="103"/>
        <v>-4,37828347695386+1061,73314693111i</v>
      </c>
      <c r="BJ52" s="68">
        <f t="shared" si="97"/>
        <v>60.5203813729717</v>
      </c>
      <c r="BK52" s="31">
        <f t="shared" si="104"/>
        <v>90.2362700491528</v>
      </c>
      <c r="BL52" s="32">
        <f t="shared" si="99"/>
        <v>46.4830012143172</v>
      </c>
      <c r="BM52" s="31">
        <f t="shared" si="100"/>
        <v>89.2892312760938</v>
      </c>
      <c r="BO52">
        <f t="shared" si="101"/>
        <v>0</v>
      </c>
      <c r="BP52">
        <f t="shared" si="102"/>
        <v>0</v>
      </c>
    </row>
    <row r="53" spans="1:68">
      <c r="A53" t="s">
        <v>295</v>
      </c>
      <c r="B53" s="15">
        <f>RFBB</f>
        <v>11000</v>
      </c>
      <c r="C53" s="16" t="s">
        <v>35</v>
      </c>
      <c r="E53" t="s">
        <v>503</v>
      </c>
      <c r="N53" s="7">
        <v>35</v>
      </c>
      <c r="O53" s="18">
        <f t="shared" si="62"/>
        <v>22.3872113856834</v>
      </c>
      <c r="P53" s="86" t="str">
        <f t="shared" si="50"/>
        <v>15</v>
      </c>
      <c r="Q53" s="4" t="str">
        <f t="shared" si="51"/>
        <v>1+0,0410267076471146i</v>
      </c>
      <c r="R53" s="4">
        <f t="shared" si="63"/>
        <v>1.00084124152653</v>
      </c>
      <c r="S53" s="4">
        <f t="shared" si="64"/>
        <v>0.041003712274537</v>
      </c>
      <c r="T53" s="4" t="str">
        <f t="shared" si="52"/>
        <v>1+0,00002813259952945i</v>
      </c>
      <c r="U53" s="4">
        <f t="shared" si="65"/>
        <v>1.00000000039572</v>
      </c>
      <c r="V53" s="4">
        <f t="shared" si="66"/>
        <v>2.81325995220282e-5</v>
      </c>
      <c r="W53" t="str">
        <f t="shared" si="53"/>
        <v>1-0,00246160245882688i</v>
      </c>
      <c r="X53" s="4">
        <f t="shared" si="67"/>
        <v>1.00000302973874</v>
      </c>
      <c r="Y53" s="4">
        <f t="shared" si="68"/>
        <v>-0.0024615974868292</v>
      </c>
      <c r="Z53" t="str">
        <f t="shared" si="54"/>
        <v>0,999999996436002+0,000130615640672446i</v>
      </c>
      <c r="AA53" s="4">
        <f t="shared" si="69"/>
        <v>1.00000000496622</v>
      </c>
      <c r="AB53" s="4">
        <f t="shared" si="70"/>
        <v>0.000130615640395173</v>
      </c>
      <c r="AC53" s="67" t="str">
        <f t="shared" si="71"/>
        <v>14,9732153513738-0,652763010881219i</v>
      </c>
      <c r="AD53" s="68">
        <f t="shared" si="72"/>
        <v>23.5145475980172</v>
      </c>
      <c r="AE53" s="31">
        <f t="shared" si="73"/>
        <v>-2.49625065026875</v>
      </c>
      <c r="AF53" s="32" t="str">
        <f t="shared" si="74"/>
        <v>75,4669735059805</v>
      </c>
      <c r="AG53" s="32" t="str">
        <f t="shared" si="55"/>
        <v>1+0,0263743120588594i</v>
      </c>
      <c r="AH53" s="32">
        <f t="shared" si="75"/>
        <v>1.00034774170614</v>
      </c>
      <c r="AI53" s="32">
        <f t="shared" si="76"/>
        <v>0.0263681992479678</v>
      </c>
      <c r="AJ53" s="32" t="str">
        <f t="shared" si="56"/>
        <v>1+0,00002813259952945i</v>
      </c>
      <c r="AK53" s="32">
        <f t="shared" si="77"/>
        <v>1.00000000039572</v>
      </c>
      <c r="AL53" s="32">
        <f t="shared" si="78"/>
        <v>2.81325995220282e-5</v>
      </c>
      <c r="AM53" s="32" t="str">
        <f t="shared" si="57"/>
        <v>1-0,000314532024658144i</v>
      </c>
      <c r="AN53" s="32">
        <f t="shared" si="79"/>
        <v>1.0000000494652</v>
      </c>
      <c r="AO53" s="32">
        <f t="shared" si="80"/>
        <v>-0.000314532014285885</v>
      </c>
      <c r="AP53" s="30" t="str">
        <f t="shared" si="81"/>
        <v>75,4139458595682-2,01060463951849i</v>
      </c>
      <c r="AQ53" s="32">
        <f t="shared" si="82"/>
        <v>37.5521191837987</v>
      </c>
      <c r="AR53" s="31">
        <f t="shared" si="83"/>
        <v>-1.52719600798957</v>
      </c>
      <c r="AS53" t="str">
        <f t="shared" si="58"/>
        <v>-0,000338461538461538</v>
      </c>
      <c r="AT53" t="str">
        <f t="shared" si="59"/>
        <v>0,0000246236203901416i</v>
      </c>
      <c r="AU53">
        <f t="shared" si="84"/>
        <v>2.46236203901416e-5</v>
      </c>
      <c r="AV53">
        <f t="shared" si="85"/>
        <v>1.5707963267949</v>
      </c>
      <c r="AW53" t="str">
        <f t="shared" si="60"/>
        <v>1+0,00399632243304838i</v>
      </c>
      <c r="AX53">
        <f t="shared" si="86"/>
        <v>1.00000798526461</v>
      </c>
      <c r="AY53">
        <f t="shared" si="87"/>
        <v>0.00399630115870589</v>
      </c>
      <c r="AZ53" t="str">
        <f t="shared" si="61"/>
        <v>1+0,034884423416518i</v>
      </c>
      <c r="BA53">
        <f t="shared" si="88"/>
        <v>1.0006082764984</v>
      </c>
      <c r="BB53">
        <f t="shared" si="89"/>
        <v>0.0348702831872597</v>
      </c>
      <c r="BC53" s="30" t="str">
        <f t="shared" si="90"/>
        <v>-0,424562556298963+13,7470977752592i</v>
      </c>
      <c r="BD53" s="32">
        <f t="shared" si="91"/>
        <v>22.7683607962037</v>
      </c>
      <c r="BE53" s="31">
        <f t="shared" si="92"/>
        <v>91.7689488669989</v>
      </c>
      <c r="BF53" s="30" t="str">
        <f t="shared" si="93"/>
        <v>2,61653034906257+206,115394177905i</v>
      </c>
      <c r="BG53" s="68">
        <f t="shared" si="94"/>
        <v>46.2829083942209</v>
      </c>
      <c r="BH53" s="31">
        <f t="shared" si="95"/>
        <v>89.2726982167301</v>
      </c>
      <c r="BI53" s="30" t="str">
        <f t="shared" si="103"/>
        <v>-4,37795906787942+1037,57651479505i</v>
      </c>
      <c r="BJ53" s="68">
        <f t="shared" si="97"/>
        <v>60.3204799800024</v>
      </c>
      <c r="BK53" s="31">
        <f t="shared" si="104"/>
        <v>90.2417528590093</v>
      </c>
      <c r="BL53" s="32">
        <f t="shared" si="99"/>
        <v>46.2829083942209</v>
      </c>
      <c r="BM53" s="31">
        <f t="shared" si="100"/>
        <v>89.2726982167301</v>
      </c>
      <c r="BO53">
        <f t="shared" si="101"/>
        <v>0</v>
      </c>
      <c r="BP53">
        <f t="shared" si="102"/>
        <v>0</v>
      </c>
    </row>
    <row r="54" spans="1:68">
      <c r="A54" t="s">
        <v>361</v>
      </c>
      <c r="B54" s="15">
        <f>RCOMP</f>
        <v>1600</v>
      </c>
      <c r="C54" s="16" t="s">
        <v>35</v>
      </c>
      <c r="E54" t="s">
        <v>362</v>
      </c>
      <c r="N54" s="7">
        <v>36</v>
      </c>
      <c r="O54" s="18">
        <f t="shared" si="62"/>
        <v>22.9086765276777</v>
      </c>
      <c r="P54" s="86" t="str">
        <f t="shared" si="50"/>
        <v>15</v>
      </c>
      <c r="Q54" s="4" t="str">
        <f t="shared" si="51"/>
        <v>1+0,0419823424316435i</v>
      </c>
      <c r="R54" s="4">
        <f t="shared" si="63"/>
        <v>1.00088087057154</v>
      </c>
      <c r="S54" s="4">
        <f t="shared" si="64"/>
        <v>0.0419577036170559</v>
      </c>
      <c r="T54" s="4" t="str">
        <f t="shared" si="52"/>
        <v>1+0,000028787891953127i</v>
      </c>
      <c r="U54" s="4">
        <f t="shared" si="65"/>
        <v>1.00000000041437</v>
      </c>
      <c r="V54" s="4">
        <f t="shared" si="66"/>
        <v>2.87878919451744e-5</v>
      </c>
      <c r="W54" t="str">
        <f t="shared" si="53"/>
        <v>1-0,00251894054589861i</v>
      </c>
      <c r="X54" s="4">
        <f t="shared" si="67"/>
        <v>1.0000031725257</v>
      </c>
      <c r="Y54" s="4">
        <f t="shared" si="68"/>
        <v>-0.00251893521830802</v>
      </c>
      <c r="Z54" t="str">
        <f t="shared" si="54"/>
        <v>0,999999996268036+0,000133658069782375i</v>
      </c>
      <c r="AA54" s="4">
        <f t="shared" si="69"/>
        <v>1.00000000520028</v>
      </c>
      <c r="AB54" s="4">
        <f t="shared" si="70"/>
        <v>0.000133658069485271</v>
      </c>
      <c r="AC54" s="67" t="str">
        <f t="shared" si="71"/>
        <v>14,9719552507237-0,667914912659691i</v>
      </c>
      <c r="AD54" s="68">
        <f t="shared" si="72"/>
        <v>23.5142049189948</v>
      </c>
      <c r="AE54" s="31">
        <f t="shared" si="73"/>
        <v>-2.55433231076383</v>
      </c>
      <c r="AF54" s="32" t="str">
        <f t="shared" si="74"/>
        <v>75,4669735059805</v>
      </c>
      <c r="AG54" s="32" t="str">
        <f t="shared" si="55"/>
        <v>1+0,0269886487060566i</v>
      </c>
      <c r="AH54" s="32">
        <f t="shared" si="75"/>
        <v>1.00036412728515</v>
      </c>
      <c r="AI54" s="32">
        <f t="shared" si="76"/>
        <v>0.0269820988399362</v>
      </c>
      <c r="AJ54" s="32" t="str">
        <f t="shared" si="56"/>
        <v>1+0,000028787891953127i</v>
      </c>
      <c r="AK54" s="32">
        <f t="shared" si="77"/>
        <v>1.00000000041437</v>
      </c>
      <c r="AL54" s="32">
        <f t="shared" si="78"/>
        <v>2.87878919451744e-5</v>
      </c>
      <c r="AM54" s="32" t="str">
        <f t="shared" si="57"/>
        <v>1-0,000321858416680556i</v>
      </c>
      <c r="AN54" s="32">
        <f t="shared" si="79"/>
        <v>1.00000005179642</v>
      </c>
      <c r="AO54" s="32">
        <f t="shared" si="80"/>
        <v>-0.000321858405566481</v>
      </c>
      <c r="AP54" s="30" t="str">
        <f t="shared" si="81"/>
        <v>75,4114485625853-2,05737023919546i</v>
      </c>
      <c r="AQ54" s="32">
        <f t="shared" si="82"/>
        <v>37.5519769315183</v>
      </c>
      <c r="AR54" s="31">
        <f t="shared" si="83"/>
        <v>-1.56275208946341</v>
      </c>
      <c r="AS54" t="str">
        <f t="shared" si="58"/>
        <v>-0,000338461538461538</v>
      </c>
      <c r="AT54" t="str">
        <f t="shared" si="59"/>
        <v>0,0000251971781898134i</v>
      </c>
      <c r="AU54">
        <f t="shared" si="84"/>
        <v>2.51971781898134e-5</v>
      </c>
      <c r="AV54">
        <f t="shared" si="85"/>
        <v>1.5707963267949</v>
      </c>
      <c r="AW54" t="str">
        <f t="shared" si="60"/>
        <v>1+0,00408940874063278i</v>
      </c>
      <c r="AX54">
        <f t="shared" si="86"/>
        <v>1.00000836159697</v>
      </c>
      <c r="AY54">
        <f t="shared" si="87"/>
        <v>0.0040893859447744</v>
      </c>
      <c r="AZ54" t="str">
        <f t="shared" si="61"/>
        <v>1+0,0356969860218775i</v>
      </c>
      <c r="BA54">
        <f t="shared" si="88"/>
        <v>1.0006369345627</v>
      </c>
      <c r="BB54">
        <f t="shared" si="89"/>
        <v>0.0356818350140809</v>
      </c>
      <c r="BC54" s="30" t="str">
        <f t="shared" si="90"/>
        <v>-0,424562236748441+13,4342537671098i</v>
      </c>
      <c r="BD54" s="32">
        <f t="shared" si="91"/>
        <v>22.5686062933499</v>
      </c>
      <c r="BE54" s="31">
        <f t="shared" si="92"/>
        <v>91.8101139961533</v>
      </c>
      <c r="BF54" s="30" t="str">
        <f t="shared" si="93"/>
        <v>2,61641162176245+201,420617677311i</v>
      </c>
      <c r="BG54" s="68">
        <f t="shared" si="94"/>
        <v>46.0828112123447</v>
      </c>
      <c r="BH54" s="31">
        <f t="shared" si="95"/>
        <v>89.2557816853895</v>
      </c>
      <c r="BI54" s="30" t="str">
        <f t="shared" si="103"/>
        <v>-4,37761939192003+1013,97001864569i</v>
      </c>
      <c r="BJ54" s="68">
        <f t="shared" si="97"/>
        <v>60.1205832248682</v>
      </c>
      <c r="BK54" s="31">
        <f t="shared" si="104"/>
        <v>90.2473619066899</v>
      </c>
      <c r="BL54" s="32">
        <f t="shared" si="99"/>
        <v>46.0828112123447</v>
      </c>
      <c r="BM54" s="31">
        <f t="shared" si="100"/>
        <v>89.2557816853895</v>
      </c>
      <c r="BO54">
        <f t="shared" si="101"/>
        <v>0</v>
      </c>
      <c r="BP54">
        <f t="shared" si="102"/>
        <v>0</v>
      </c>
    </row>
    <row r="55" spans="1:68">
      <c r="A55" t="s">
        <v>364</v>
      </c>
      <c r="B55" s="15">
        <f>CCOMP</f>
        <v>1.55e-7</v>
      </c>
      <c r="C55" s="16" t="s">
        <v>258</v>
      </c>
      <c r="E55" t="s">
        <v>365</v>
      </c>
      <c r="N55" s="7">
        <v>37</v>
      </c>
      <c r="O55" s="18">
        <f t="shared" si="62"/>
        <v>23.4422881531992</v>
      </c>
      <c r="P55" s="86" t="str">
        <f t="shared" si="50"/>
        <v>15</v>
      </c>
      <c r="Q55" s="4" t="str">
        <f t="shared" si="51"/>
        <v>1+0,0429602368098318i</v>
      </c>
      <c r="R55" s="4">
        <f t="shared" si="63"/>
        <v>1.00092236559423</v>
      </c>
      <c r="S55" s="4">
        <f t="shared" si="64"/>
        <v>0.0429338371581423</v>
      </c>
      <c r="T55" s="4" t="str">
        <f t="shared" si="52"/>
        <v>1+0,0000294584480981704i</v>
      </c>
      <c r="U55" s="4">
        <f t="shared" si="65"/>
        <v>1.0000000004339</v>
      </c>
      <c r="V55" s="4">
        <f t="shared" si="66"/>
        <v>2.94584480896491e-5</v>
      </c>
      <c r="W55" t="str">
        <f t="shared" si="53"/>
        <v>1-0,00257761420858991i</v>
      </c>
      <c r="X55" s="4">
        <f t="shared" si="67"/>
        <v>1.00000332204199</v>
      </c>
      <c r="Y55" s="4">
        <f t="shared" si="68"/>
        <v>-0.00257760849997477</v>
      </c>
      <c r="Z55" t="str">
        <f t="shared" si="54"/>
        <v>0,999999996092154+0,000136771366170076i</v>
      </c>
      <c r="AA55" s="4">
        <f t="shared" si="69"/>
        <v>1.00000000544536</v>
      </c>
      <c r="AB55" s="4">
        <f t="shared" si="70"/>
        <v>0.000136771365851724</v>
      </c>
      <c r="AC55" s="67" t="str">
        <f t="shared" si="71"/>
        <v>14,970635977238-0,683415973243661i</v>
      </c>
      <c r="AD55" s="68">
        <f t="shared" si="72"/>
        <v>23.5138461191952</v>
      </c>
      <c r="AE55" s="31">
        <f t="shared" si="73"/>
        <v>-2.6137623330241</v>
      </c>
      <c r="AF55" s="32" t="str">
        <f t="shared" si="74"/>
        <v>75,4669735059805</v>
      </c>
      <c r="AG55" s="32" t="str">
        <f t="shared" si="55"/>
        <v>1+0,0276172950920348i</v>
      </c>
      <c r="AH55" s="32">
        <f t="shared" si="75"/>
        <v>1.00038128480505</v>
      </c>
      <c r="AI55" s="32">
        <f t="shared" si="76"/>
        <v>0.0276102769285033</v>
      </c>
      <c r="AJ55" s="32" t="str">
        <f t="shared" si="56"/>
        <v>1+0,0000294584480981704i</v>
      </c>
      <c r="AK55" s="32">
        <f t="shared" si="77"/>
        <v>1.0000000004339</v>
      </c>
      <c r="AL55" s="32">
        <f t="shared" si="78"/>
        <v>2.94584480896491e-5</v>
      </c>
      <c r="AM55" s="32" t="str">
        <f t="shared" si="57"/>
        <v>1-0,000329355462295792i</v>
      </c>
      <c r="AN55" s="32">
        <f t="shared" si="79"/>
        <v>1.00000005423751</v>
      </c>
      <c r="AO55" s="32">
        <f t="shared" si="80"/>
        <v>-0.000329355450386846</v>
      </c>
      <c r="AP55" s="30" t="str">
        <f t="shared" si="81"/>
        <v>75,4088337469815-2,10522033416156i</v>
      </c>
      <c r="AQ55" s="32">
        <f t="shared" si="82"/>
        <v>37.5518279800897</v>
      </c>
      <c r="AR55" s="31">
        <f t="shared" si="83"/>
        <v>-1.59913517171093</v>
      </c>
      <c r="AS55" t="str">
        <f t="shared" si="58"/>
        <v>-0,000338461538461538</v>
      </c>
      <c r="AT55" t="str">
        <f t="shared" si="59"/>
        <v>0,0000257840958668855i</v>
      </c>
      <c r="AU55">
        <f t="shared" si="84"/>
        <v>2.57840958668855e-5</v>
      </c>
      <c r="AV55">
        <f t="shared" si="85"/>
        <v>1.5707963267949</v>
      </c>
      <c r="AW55" t="str">
        <f t="shared" si="60"/>
        <v>1+0,00418466330686119i</v>
      </c>
      <c r="AX55">
        <f t="shared" si="86"/>
        <v>1.00000875566517</v>
      </c>
      <c r="AY55">
        <f t="shared" si="87"/>
        <v>0.0041846388806704</v>
      </c>
      <c r="AZ55" t="str">
        <f t="shared" si="61"/>
        <v>1+0,0365284756417313i</v>
      </c>
      <c r="BA55">
        <f t="shared" si="88"/>
        <v>1.0006669423603</v>
      </c>
      <c r="BB55">
        <f t="shared" si="89"/>
        <v>0.03651224162872</v>
      </c>
      <c r="BC55" s="30" t="str">
        <f t="shared" si="90"/>
        <v>-0,424561902138483+13,128532778008i</v>
      </c>
      <c r="BD55" s="32">
        <f t="shared" si="91"/>
        <v>22.3688633451511</v>
      </c>
      <c r="BE55" s="31">
        <f t="shared" si="92"/>
        <v>91.8522351992388</v>
      </c>
      <c r="BF55" s="30" t="str">
        <f t="shared" si="93"/>
        <v>2,61628731902467+196,832637520347i</v>
      </c>
      <c r="BG55" s="68">
        <f t="shared" si="94"/>
        <v>45.8827094643464</v>
      </c>
      <c r="BH55" s="31">
        <f t="shared" si="95"/>
        <v>89.2384728662146</v>
      </c>
      <c r="BI55" s="30" t="str">
        <f t="shared" si="103"/>
        <v>-4,3772637316941+990,901141948095i</v>
      </c>
      <c r="BJ55" s="68">
        <f t="shared" si="97"/>
        <v>59.9206913252408</v>
      </c>
      <c r="BK55" s="31">
        <f t="shared" si="104"/>
        <v>90.2531000275278</v>
      </c>
      <c r="BL55" s="32">
        <f t="shared" si="99"/>
        <v>45.8827094643464</v>
      </c>
      <c r="BM55" s="31">
        <f t="shared" si="100"/>
        <v>89.2384728662146</v>
      </c>
      <c r="BO55">
        <f t="shared" si="101"/>
        <v>0</v>
      </c>
      <c r="BP55">
        <f t="shared" si="102"/>
        <v>0</v>
      </c>
    </row>
    <row r="56" spans="1:68">
      <c r="A56" t="s">
        <v>367</v>
      </c>
      <c r="B56" s="15">
        <f>CHF</f>
        <v>2.0054e-8</v>
      </c>
      <c r="C56" s="16" t="s">
        <v>258</v>
      </c>
      <c r="E56" t="s">
        <v>368</v>
      </c>
      <c r="N56" s="7">
        <v>38</v>
      </c>
      <c r="O56" s="18">
        <f t="shared" si="62"/>
        <v>23.9883291901949</v>
      </c>
      <c r="P56" s="86" t="str">
        <f t="shared" si="50"/>
        <v>15</v>
      </c>
      <c r="Q56" s="4" t="str">
        <f t="shared" si="51"/>
        <v>1+0,0439609092742225i</v>
      </c>
      <c r="R56" s="4">
        <f t="shared" si="63"/>
        <v>1.00096581437341</v>
      </c>
      <c r="S56" s="4">
        <f t="shared" si="64"/>
        <v>0.043932623011714</v>
      </c>
      <c r="T56" s="4" t="str">
        <f t="shared" si="52"/>
        <v>1+0,000030144623502324i</v>
      </c>
      <c r="U56" s="4">
        <f t="shared" si="65"/>
        <v>1.00000000045435</v>
      </c>
      <c r="V56" s="4">
        <f t="shared" si="66"/>
        <v>3.01446234931932e-5</v>
      </c>
      <c r="W56" t="str">
        <f t="shared" si="53"/>
        <v>1-0,00263765455645335i</v>
      </c>
      <c r="X56" s="4">
        <f t="shared" si="67"/>
        <v>1.00000347860473</v>
      </c>
      <c r="Y56" s="4">
        <f t="shared" si="68"/>
        <v>-0.00263764843956317</v>
      </c>
      <c r="Z56" t="str">
        <f t="shared" si="54"/>
        <v>0,999999995907983+0,000139957180546504i</v>
      </c>
      <c r="AA56" s="4">
        <f t="shared" si="69"/>
        <v>1.00000000570199</v>
      </c>
      <c r="AB56" s="4">
        <f t="shared" si="70"/>
        <v>0.000139957180205384</v>
      </c>
      <c r="AC56" s="67" t="str">
        <f t="shared" si="71"/>
        <v>14,9692547627632-0,699274056767912i</v>
      </c>
      <c r="AD56" s="68">
        <f t="shared" si="72"/>
        <v>23.5134704416803</v>
      </c>
      <c r="AE56" s="31">
        <f t="shared" si="73"/>
        <v>-2.67457180097393</v>
      </c>
      <c r="AF56" s="32" t="str">
        <f t="shared" si="74"/>
        <v>75,4669735059805</v>
      </c>
      <c r="AG56" s="32" t="str">
        <f t="shared" si="55"/>
        <v>1+0,0282605845334288i</v>
      </c>
      <c r="AH56" s="32">
        <f t="shared" si="75"/>
        <v>1.00039925061856</v>
      </c>
      <c r="AI56" s="32">
        <f t="shared" si="76"/>
        <v>0.0282530645977998</v>
      </c>
      <c r="AJ56" s="32" t="str">
        <f t="shared" si="56"/>
        <v>1+0,000030144623502324i</v>
      </c>
      <c r="AK56" s="32">
        <f t="shared" si="77"/>
        <v>1.00000000045435</v>
      </c>
      <c r="AL56" s="32">
        <f t="shared" si="78"/>
        <v>3.01446234931932e-5</v>
      </c>
      <c r="AM56" s="32" t="str">
        <f t="shared" si="57"/>
        <v>1-0,000337027136536671i</v>
      </c>
      <c r="AN56" s="32">
        <f t="shared" si="79"/>
        <v>1.00000005679364</v>
      </c>
      <c r="AO56" s="32">
        <f t="shared" si="80"/>
        <v>-0.000337027123776005</v>
      </c>
      <c r="AP56" s="30" t="str">
        <f t="shared" si="81"/>
        <v>75,4060958911735-2,15417984174896i</v>
      </c>
      <c r="AQ56" s="32">
        <f t="shared" si="82"/>
        <v>37.5516720142734</v>
      </c>
      <c r="AR56" s="31">
        <f t="shared" si="83"/>
        <v>-1.63636443183704</v>
      </c>
      <c r="AS56" t="str">
        <f t="shared" si="58"/>
        <v>-0,000338461538461538</v>
      </c>
      <c r="AT56" t="str">
        <f t="shared" si="59"/>
        <v>0,0000263846846128791i</v>
      </c>
      <c r="AU56">
        <f t="shared" si="84"/>
        <v>2.63846846128791e-5</v>
      </c>
      <c r="AV56">
        <f t="shared" si="85"/>
        <v>1.5707963267949</v>
      </c>
      <c r="AW56" t="str">
        <f t="shared" si="60"/>
        <v>1+0,00428213663696545i</v>
      </c>
      <c r="AX56">
        <f t="shared" si="86"/>
        <v>1.00000916830506</v>
      </c>
      <c r="AY56">
        <f t="shared" si="87"/>
        <v>0.00428211046384343</v>
      </c>
      <c r="AZ56" t="str">
        <f t="shared" si="61"/>
        <v>1+0,0373793331428817i</v>
      </c>
      <c r="BA56">
        <f t="shared" si="88"/>
        <v>1.00069836341737</v>
      </c>
      <c r="BB56">
        <f t="shared" si="89"/>
        <v>0.0373619387401175</v>
      </c>
      <c r="BC56" s="30" t="str">
        <f t="shared" si="90"/>
        <v>-0,42456155175941+12,8297727106297i</v>
      </c>
      <c r="BD56" s="32">
        <f t="shared" si="91"/>
        <v>22.1691324946903</v>
      </c>
      <c r="BE56" s="31">
        <f t="shared" si="92"/>
        <v>91.895334547248</v>
      </c>
      <c r="BF56" s="30" t="str">
        <f t="shared" si="93"/>
        <v>2,6161571800116+192,349021132409i</v>
      </c>
      <c r="BG56" s="68">
        <f t="shared" si="94"/>
        <v>45.6826029363706</v>
      </c>
      <c r="BH56" s="31">
        <f t="shared" si="95"/>
        <v>89.2207627462741</v>
      </c>
      <c r="BI56" s="30" t="str">
        <f t="shared" si="103"/>
        <v>-4,37689133621609+968,357653216086i</v>
      </c>
      <c r="BJ56" s="68">
        <f t="shared" si="97"/>
        <v>59.7208045089637</v>
      </c>
      <c r="BK56" s="31">
        <f t="shared" si="104"/>
        <v>90.258970115411</v>
      </c>
      <c r="BL56" s="32">
        <f t="shared" si="99"/>
        <v>45.6826029363706</v>
      </c>
      <c r="BM56" s="31">
        <f t="shared" si="100"/>
        <v>89.2207627462741</v>
      </c>
      <c r="BO56">
        <f t="shared" si="101"/>
        <v>0</v>
      </c>
      <c r="BP56">
        <f t="shared" si="102"/>
        <v>0</v>
      </c>
    </row>
    <row r="57" spans="1:68">
      <c r="N57" s="7">
        <v>39</v>
      </c>
      <c r="O57" s="18">
        <f t="shared" si="62"/>
        <v>24.5470891568503</v>
      </c>
      <c r="P57" s="86" t="str">
        <f t="shared" si="50"/>
        <v>15</v>
      </c>
      <c r="Q57" s="4" t="str">
        <f t="shared" si="51"/>
        <v>1+0,0449848903946018i</v>
      </c>
      <c r="R57" s="4">
        <f t="shared" si="63"/>
        <v>1.00101130880915</v>
      </c>
      <c r="S57" s="4">
        <f t="shared" si="64"/>
        <v>0.0449545827718158</v>
      </c>
      <c r="T57" s="4" t="str">
        <f t="shared" si="52"/>
        <v>1+0,0000308467819848698i</v>
      </c>
      <c r="U57" s="4">
        <f t="shared" si="65"/>
        <v>1.00000000047576</v>
      </c>
      <c r="V57" s="4">
        <f t="shared" si="66"/>
        <v>3.0846781975086e-5</v>
      </c>
      <c r="W57" t="str">
        <f t="shared" si="53"/>
        <v>1-0,00269909342367611i</v>
      </c>
      <c r="X57" s="4">
        <f t="shared" si="67"/>
        <v>1.00000364254602</v>
      </c>
      <c r="Y57" s="4">
        <f t="shared" si="68"/>
        <v>-0.00269908686931148</v>
      </c>
      <c r="Z57" t="str">
        <f t="shared" si="54"/>
        <v>0,999999995715132+0,000143217202072609i</v>
      </c>
      <c r="AA57" s="4">
        <f t="shared" si="69"/>
        <v>1.00000000597072</v>
      </c>
      <c r="AB57" s="4">
        <f t="shared" si="70"/>
        <v>0.000143217201707092</v>
      </c>
      <c r="AC57" s="67" t="str">
        <f t="shared" si="71"/>
        <v>14,9678087106632-0,715497191456777i</v>
      </c>
      <c r="AD57" s="68">
        <f t="shared" si="72"/>
        <v>23.5130770941088</v>
      </c>
      <c r="AE57" s="31">
        <f t="shared" si="73"/>
        <v>-2.73679249954005</v>
      </c>
      <c r="AF57" s="32" t="str">
        <f t="shared" si="74"/>
        <v>75,4669735059805</v>
      </c>
      <c r="AG57" s="32" t="str">
        <f t="shared" si="55"/>
        <v>1+0,0289188581108155i</v>
      </c>
      <c r="AH57" s="32">
        <f t="shared" si="75"/>
        <v>1.00041806278897</v>
      </c>
      <c r="AI57" s="32">
        <f t="shared" si="76"/>
        <v>0.0289108005364646</v>
      </c>
      <c r="AJ57" s="32" t="str">
        <f t="shared" si="56"/>
        <v>1+0,0000308467819848698i</v>
      </c>
      <c r="AK57" s="32">
        <f t="shared" si="77"/>
        <v>1.00000000047576</v>
      </c>
      <c r="AL57" s="32">
        <f t="shared" si="78"/>
        <v>3.0846781975086e-5</v>
      </c>
      <c r="AM57" s="32" t="str">
        <f t="shared" si="57"/>
        <v>1-0,000344877507026424i</v>
      </c>
      <c r="AN57" s="32">
        <f t="shared" si="79"/>
        <v>1.00000005947025</v>
      </c>
      <c r="AO57" s="32">
        <f t="shared" si="80"/>
        <v>-0.000344877493353125</v>
      </c>
      <c r="AP57" s="30" t="str">
        <f t="shared" si="81"/>
        <v>75,4032292149811-2,20427423517211i</v>
      </c>
      <c r="AQ57" s="32">
        <f t="shared" si="82"/>
        <v>37.5515087040193</v>
      </c>
      <c r="AR57" s="31">
        <f t="shared" si="83"/>
        <v>-1.67445948748343</v>
      </c>
      <c r="AS57" t="str">
        <f t="shared" si="58"/>
        <v>-0,000338461538461538</v>
      </c>
      <c r="AT57" t="str">
        <f t="shared" si="59"/>
        <v>0,000026999262867897i</v>
      </c>
      <c r="AU57">
        <f t="shared" si="84"/>
        <v>2.6999262867897e-5</v>
      </c>
      <c r="AV57">
        <f t="shared" si="85"/>
        <v>1.5707963267949</v>
      </c>
      <c r="AW57" t="str">
        <f t="shared" si="60"/>
        <v>1+0,00438188041259541i</v>
      </c>
      <c r="AX57">
        <f t="shared" si="86"/>
        <v>1.00000960039189</v>
      </c>
      <c r="AY57">
        <f t="shared" si="87"/>
        <v>0.00438185236760443</v>
      </c>
      <c r="AZ57" t="str">
        <f t="shared" si="61"/>
        <v>1+0,0382500096612385i</v>
      </c>
      <c r="BA57">
        <f t="shared" si="88"/>
        <v>1.00073126424584</v>
      </c>
      <c r="BB57">
        <f t="shared" si="89"/>
        <v>0.0382313719583776</v>
      </c>
      <c r="BC57" s="30" t="str">
        <f t="shared" si="90"/>
        <v>-0,4245611848681+12,5378151584232i</v>
      </c>
      <c r="BD57" s="32">
        <f t="shared" si="91"/>
        <v>21.9694143105036</v>
      </c>
      <c r="BE57" s="31">
        <f t="shared" si="92"/>
        <v>91.9394346110967</v>
      </c>
      <c r="BF57" s="30" t="str">
        <f t="shared" si="93"/>
        <v>2,61602093177777+187,967391276307i</v>
      </c>
      <c r="BG57" s="68">
        <f t="shared" si="94"/>
        <v>45.4824914046124</v>
      </c>
      <c r="BH57" s="31">
        <f t="shared" si="95"/>
        <v>89.2026421115567</v>
      </c>
      <c r="BI57" s="30" t="str">
        <f t="shared" si="103"/>
        <v>-4,37650141933073+946,327599526708i</v>
      </c>
      <c r="BJ57" s="68">
        <f t="shared" si="97"/>
        <v>59.5209230145229</v>
      </c>
      <c r="BK57" s="31">
        <f t="shared" si="104"/>
        <v>90.2649751236133</v>
      </c>
      <c r="BL57" s="32">
        <f t="shared" si="99"/>
        <v>45.4824914046124</v>
      </c>
      <c r="BM57" s="31">
        <f t="shared" si="100"/>
        <v>89.2026421115567</v>
      </c>
      <c r="BO57">
        <f t="shared" si="101"/>
        <v>0</v>
      </c>
      <c r="BP57">
        <f t="shared" si="102"/>
        <v>0</v>
      </c>
    </row>
    <row r="58" spans="1:68">
      <c r="A58" t="s">
        <v>504</v>
      </c>
      <c r="B58" s="12">
        <f>-(RFBB*gm_ea)/(RFBB+RFBT)</f>
        <v>-0.000338461538461538</v>
      </c>
      <c r="C58" t="s">
        <v>244</v>
      </c>
      <c r="N58" s="7">
        <v>40</v>
      </c>
      <c r="O58" s="18">
        <f t="shared" si="62"/>
        <v>25.1188643150958</v>
      </c>
      <c r="P58" s="86" t="str">
        <f t="shared" si="50"/>
        <v>15</v>
      </c>
      <c r="Q58" s="4" t="str">
        <f t="shared" si="51"/>
        <v>1+0,046032723099314i</v>
      </c>
      <c r="R58" s="4">
        <f t="shared" si="63"/>
        <v>1.00105894511559</v>
      </c>
      <c r="S58" s="4">
        <f t="shared" si="64"/>
        <v>0.0460002497514866</v>
      </c>
      <c r="T58" s="4" t="str">
        <f t="shared" si="52"/>
        <v>1+0,0000315652958395296i</v>
      </c>
      <c r="U58" s="4">
        <f t="shared" si="65"/>
        <v>1.00000000049818</v>
      </c>
      <c r="V58" s="4">
        <f t="shared" si="66"/>
        <v>3.1565295829046e-5</v>
      </c>
      <c r="W58" t="str">
        <f t="shared" si="53"/>
        <v>1-0,00276196338595884i</v>
      </c>
      <c r="X58" s="4">
        <f t="shared" si="67"/>
        <v>1.0000038142136</v>
      </c>
      <c r="Y58" s="4">
        <f t="shared" si="68"/>
        <v>-0.00276195636283205</v>
      </c>
      <c r="Z58" t="str">
        <f t="shared" si="54"/>
        <v>0,999999995513192+0,000146553159254958i</v>
      </c>
      <c r="AA58" s="4">
        <f t="shared" si="69"/>
        <v>1.00000000625211</v>
      </c>
      <c r="AB58" s="4">
        <f t="shared" si="70"/>
        <v>0.000146553158863299</v>
      </c>
      <c r="AC58" s="67" t="str">
        <f t="shared" si="71"/>
        <v>14,9662947899535-0,73209357209753i</v>
      </c>
      <c r="AD58" s="68">
        <f t="shared" si="72"/>
        <v>23.512665247094</v>
      </c>
      <c r="AE58" s="31">
        <f t="shared" si="73"/>
        <v>-2.80045692934457</v>
      </c>
      <c r="AF58" s="32" t="str">
        <f t="shared" si="74"/>
        <v>75,4669735059805</v>
      </c>
      <c r="AG58" s="32" t="str">
        <f t="shared" si="55"/>
        <v>1+0,029592464849559i</v>
      </c>
      <c r="AH58" s="32">
        <f t="shared" si="75"/>
        <v>1.00043776117052</v>
      </c>
      <c r="AI58" s="32">
        <f t="shared" si="76"/>
        <v>0.0295838312071162</v>
      </c>
      <c r="AJ58" s="32" t="str">
        <f t="shared" si="56"/>
        <v>1+0,0000315652958395296i</v>
      </c>
      <c r="AK58" s="32">
        <f t="shared" si="77"/>
        <v>1.00000000049818</v>
      </c>
      <c r="AL58" s="32">
        <f t="shared" si="78"/>
        <v>3.1565295829046e-5</v>
      </c>
      <c r="AM58" s="32" t="str">
        <f t="shared" si="57"/>
        <v>1-0,000352910736135397i</v>
      </c>
      <c r="AN58" s="32">
        <f t="shared" si="79"/>
        <v>1.00000006227299</v>
      </c>
      <c r="AO58" s="32">
        <f t="shared" si="80"/>
        <v>-0.000352910721484193</v>
      </c>
      <c r="AP58" s="30" t="str">
        <f t="shared" si="81"/>
        <v>75,4002276675969-2,25552955473118i</v>
      </c>
      <c r="AQ58" s="32">
        <f t="shared" si="82"/>
        <v>37.5513377037739</v>
      </c>
      <c r="AR58" s="31">
        <f t="shared" si="83"/>
        <v>-1.71344040665105</v>
      </c>
      <c r="AS58" t="str">
        <f t="shared" si="58"/>
        <v>-0,000338461538461538</v>
      </c>
      <c r="AT58" t="str">
        <f t="shared" si="59"/>
        <v>0,000027628156489465i</v>
      </c>
      <c r="AU58">
        <f t="shared" si="84"/>
        <v>2.7628156489465e-5</v>
      </c>
      <c r="AV58">
        <f t="shared" si="85"/>
        <v>1.5707963267949</v>
      </c>
      <c r="AW58" t="str">
        <f t="shared" si="60"/>
        <v>1+0,0044839475192212i</v>
      </c>
      <c r="AX58">
        <f t="shared" si="86"/>
        <v>1.00001005284215</v>
      </c>
      <c r="AY58">
        <f t="shared" si="87"/>
        <v>0.00448391746848826</v>
      </c>
      <c r="AZ58" t="str">
        <f t="shared" si="61"/>
        <v>1+0,0391409668410167i</v>
      </c>
      <c r="BA58">
        <f t="shared" si="88"/>
        <v>1.00076571448329</v>
      </c>
      <c r="BB58">
        <f t="shared" si="89"/>
        <v>0.0391209970077658</v>
      </c>
      <c r="BC58" s="30" t="str">
        <f t="shared" si="90"/>
        <v>-0,424560800686416+12,2525053216198i</v>
      </c>
      <c r="BD58" s="32">
        <f t="shared" si="91"/>
        <v>21.769709387766</v>
      </c>
      <c r="BE58" s="31">
        <f t="shared" si="92"/>
        <v>91.9845584722596</v>
      </c>
      <c r="BF58" s="30" t="str">
        <f t="shared" si="93"/>
        <v>2,61587828871704+183,685424791983i</v>
      </c>
      <c r="BG58" s="68">
        <f t="shared" si="94"/>
        <v>45.2823746348601</v>
      </c>
      <c r="BH58" s="31">
        <f t="shared" si="95"/>
        <v>89.184101542915</v>
      </c>
      <c r="BI58" s="30" t="str">
        <f t="shared" si="103"/>
        <v>-4,37609315807847+924,799300182304i</v>
      </c>
      <c r="BJ58" s="68">
        <f t="shared" si="97"/>
        <v>59.3210470915399</v>
      </c>
      <c r="BK58" s="31">
        <f t="shared" si="104"/>
        <v>90.2711180656085</v>
      </c>
      <c r="BL58" s="32">
        <f t="shared" si="99"/>
        <v>45.2823746348601</v>
      </c>
      <c r="BM58" s="31">
        <f t="shared" si="100"/>
        <v>89.184101542915</v>
      </c>
      <c r="BO58">
        <f t="shared" si="101"/>
        <v>0</v>
      </c>
      <c r="BP58">
        <f t="shared" si="102"/>
        <v>0</v>
      </c>
    </row>
    <row r="59" spans="1:68">
      <c r="A59" t="s">
        <v>449</v>
      </c>
      <c r="B59" s="12">
        <f>1/(RCOMP*CCOMP)</f>
        <v>4032.25806451613</v>
      </c>
      <c r="E59" t="s">
        <v>505</v>
      </c>
      <c r="N59" s="7">
        <v>41</v>
      </c>
      <c r="O59" s="18">
        <f t="shared" si="62"/>
        <v>25.7039578276886</v>
      </c>
      <c r="P59" s="86" t="str">
        <f t="shared" si="50"/>
        <v>15</v>
      </c>
      <c r="Q59" s="4" t="str">
        <f t="shared" si="51"/>
        <v>1+0,0471049629631283i</v>
      </c>
      <c r="R59" s="4">
        <f t="shared" si="63"/>
        <v>1.00110882402252</v>
      </c>
      <c r="S59" s="4">
        <f t="shared" si="64"/>
        <v>0.047070169225174</v>
      </c>
      <c r="T59" s="4" t="str">
        <f t="shared" si="52"/>
        <v>1+0,0000323005460318594i</v>
      </c>
      <c r="U59" s="4">
        <f t="shared" si="65"/>
        <v>1.00000000052166</v>
      </c>
      <c r="V59" s="4">
        <f t="shared" si="66"/>
        <v>3.23005460206261e-5</v>
      </c>
      <c r="W59" t="str">
        <f t="shared" si="53"/>
        <v>1-0,0028262977777877i</v>
      </c>
      <c r="X59" s="4">
        <f t="shared" si="67"/>
        <v>1.00000399397159</v>
      </c>
      <c r="Y59" s="4">
        <f t="shared" si="68"/>
        <v>-0.00282629025237339</v>
      </c>
      <c r="Z59" t="str">
        <f t="shared" si="54"/>
        <v>0,999999995301735+0,000149966820862204i</v>
      </c>
      <c r="AA59" s="4">
        <f t="shared" si="69"/>
        <v>1.00000000654676</v>
      </c>
      <c r="AB59" s="4">
        <f t="shared" si="70"/>
        <v>0.000149966820442534</v>
      </c>
      <c r="AC59" s="67" t="str">
        <f t="shared" si="71"/>
        <v>14,9647098291773-0,74907156247688i</v>
      </c>
      <c r="AD59" s="68">
        <f t="shared" si="72"/>
        <v>23.5122340324863</v>
      </c>
      <c r="AE59" s="31">
        <f t="shared" si="73"/>
        <v>-2.8655983216244</v>
      </c>
      <c r="AF59" s="32" t="str">
        <f t="shared" si="74"/>
        <v>75,4669735059805</v>
      </c>
      <c r="AG59" s="32" t="str">
        <f t="shared" si="55"/>
        <v>1+0,0302817619048682i</v>
      </c>
      <c r="AH59" s="32">
        <f t="shared" si="75"/>
        <v>1.00045838749248</v>
      </c>
      <c r="AI59" s="32">
        <f t="shared" si="76"/>
        <v>0.0302725110192258</v>
      </c>
      <c r="AJ59" s="32" t="str">
        <f t="shared" si="56"/>
        <v>1+0,0000323005460318594i</v>
      </c>
      <c r="AK59" s="32">
        <f t="shared" si="77"/>
        <v>1.00000000052166</v>
      </c>
      <c r="AL59" s="32">
        <f t="shared" si="78"/>
        <v>3.23005460206261e-5</v>
      </c>
      <c r="AM59" s="32" t="str">
        <f t="shared" si="57"/>
        <v>1-0,000361131083187993i</v>
      </c>
      <c r="AN59" s="32">
        <f t="shared" si="79"/>
        <v>1.00000006520783</v>
      </c>
      <c r="AO59" s="32">
        <f t="shared" si="80"/>
        <v>-0.000361131067488945</v>
      </c>
      <c r="AP59" s="30" t="str">
        <f t="shared" si="81"/>
        <v>75,3970849150027-2,30797241915276i</v>
      </c>
      <c r="AQ59" s="32">
        <f t="shared" si="82"/>
        <v>37.5511586517533</v>
      </c>
      <c r="AR59" s="31">
        <f t="shared" si="83"/>
        <v>-1.75332771772014</v>
      </c>
      <c r="AS59" t="str">
        <f t="shared" si="58"/>
        <v>-0,000338461538461538</v>
      </c>
      <c r="AT59" t="str">
        <f t="shared" si="59"/>
        <v>0,0000282716989253056i</v>
      </c>
      <c r="AU59">
        <f t="shared" si="84"/>
        <v>2.82716989253056e-5</v>
      </c>
      <c r="AV59">
        <f t="shared" si="85"/>
        <v>1.5707963267949</v>
      </c>
      <c r="AW59" t="str">
        <f t="shared" si="60"/>
        <v>1+0,00458839207417371i</v>
      </c>
      <c r="AX59">
        <f t="shared" si="86"/>
        <v>1.00001052661551</v>
      </c>
      <c r="AY59">
        <f t="shared" si="87"/>
        <v>0.00458835987425154</v>
      </c>
      <c r="AZ59" t="str">
        <f t="shared" si="61"/>
        <v>1+0,0400526770795056i</v>
      </c>
      <c r="BA59">
        <f t="shared" si="88"/>
        <v>1.00080178703939</v>
      </c>
      <c r="BB59">
        <f t="shared" si="89"/>
        <v>0.0400312799434174</v>
      </c>
      <c r="BC59" s="30" t="str">
        <f t="shared" si="90"/>
        <v>-0,42456039839955+11,9736919251565i</v>
      </c>
      <c r="BD59" s="32">
        <f t="shared" si="91"/>
        <v>21.5700183495323</v>
      </c>
      <c r="BE59" s="31">
        <f t="shared" si="92"/>
        <v>92.0307297335827</v>
      </c>
      <c r="BF59" s="30" t="str">
        <f t="shared" si="93"/>
        <v>2,6157289519846+179,500851364925i</v>
      </c>
      <c r="BG59" s="68">
        <f t="shared" si="94"/>
        <v>45.0822523820185</v>
      </c>
      <c r="BH59" s="31">
        <f t="shared" si="95"/>
        <v>89.1651314119583</v>
      </c>
      <c r="BI59" s="30" t="str">
        <f t="shared" si="103"/>
        <v>-4,37566569098493+903,761340516877i</v>
      </c>
      <c r="BJ59" s="68">
        <f t="shared" si="97"/>
        <v>59.1211770012855</v>
      </c>
      <c r="BK59" s="31">
        <f t="shared" si="104"/>
        <v>90.2774020158626</v>
      </c>
      <c r="BL59" s="32">
        <f t="shared" si="99"/>
        <v>45.0822523820185</v>
      </c>
      <c r="BM59" s="31">
        <f t="shared" si="100"/>
        <v>89.1651314119583</v>
      </c>
      <c r="BO59">
        <f t="shared" si="101"/>
        <v>0</v>
      </c>
      <c r="BP59">
        <f t="shared" si="102"/>
        <v>0</v>
      </c>
    </row>
    <row r="60" spans="1:68">
      <c r="A60" t="s">
        <v>447</v>
      </c>
      <c r="B60" s="12">
        <f>(CCOMP+CHF)</f>
        <v>1.75054e-7</v>
      </c>
      <c r="E60" t="s">
        <v>506</v>
      </c>
      <c r="N60" s="7">
        <v>42</v>
      </c>
      <c r="O60" s="18">
        <f t="shared" si="62"/>
        <v>26.3026799189538</v>
      </c>
      <c r="P60" s="86" t="str">
        <f t="shared" si="50"/>
        <v>15</v>
      </c>
      <c r="Q60" s="4" t="str">
        <f t="shared" si="51"/>
        <v>1+0,0482021785018136i</v>
      </c>
      <c r="R60" s="4">
        <f t="shared" si="63"/>
        <v>1.00116105098646</v>
      </c>
      <c r="S60" s="4">
        <f t="shared" si="64"/>
        <v>0.0481648986746408</v>
      </c>
      <c r="T60" s="4" t="str">
        <f t="shared" si="52"/>
        <v>1+0,0000330529224012436i</v>
      </c>
      <c r="U60" s="4">
        <f t="shared" si="65"/>
        <v>1.00000000054625</v>
      </c>
      <c r="V60" s="4">
        <f t="shared" si="66"/>
        <v>3.30529223892069e-5</v>
      </c>
      <c r="W60" t="str">
        <f t="shared" si="53"/>
        <v>1-0,00289213071010882i</v>
      </c>
      <c r="X60" s="4">
        <f t="shared" si="67"/>
        <v>1.00000418220128</v>
      </c>
      <c r="Y60" s="4">
        <f t="shared" si="68"/>
        <v>-0.00289212264648393</v>
      </c>
      <c r="Z60" t="str">
        <f t="shared" si="54"/>
        <v>0,999999995080313+0,000153459996862916i</v>
      </c>
      <c r="AA60" s="4">
        <f t="shared" si="69"/>
        <v>1.0000000068553</v>
      </c>
      <c r="AB60" s="4">
        <f t="shared" si="70"/>
        <v>0.000153459996413232</v>
      </c>
      <c r="AC60" s="67" t="str">
        <f t="shared" si="71"/>
        <v>14,9630505100124-0,766439697773335i</v>
      </c>
      <c r="AD60" s="68">
        <f t="shared" si="72"/>
        <v>23.5117825415772</v>
      </c>
      <c r="AE60" s="31">
        <f t="shared" si="73"/>
        <v>-2.93225065337501</v>
      </c>
      <c r="AF60" s="32" t="str">
        <f t="shared" si="74"/>
        <v>75,4669735059805</v>
      </c>
      <c r="AG60" s="32" t="str">
        <f t="shared" si="55"/>
        <v>1+0,0309871147511659i</v>
      </c>
      <c r="AH60" s="32">
        <f t="shared" si="75"/>
        <v>1.00047998544729</v>
      </c>
      <c r="AI60" s="32">
        <f t="shared" si="76"/>
        <v>0.0309772025054348</v>
      </c>
      <c r="AJ60" s="32" t="str">
        <f t="shared" si="56"/>
        <v>1+0,0000330529224012436i</v>
      </c>
      <c r="AK60" s="32">
        <f t="shared" si="77"/>
        <v>1.00000000054625</v>
      </c>
      <c r="AL60" s="32">
        <f t="shared" si="78"/>
        <v>3.30529223892069e-5</v>
      </c>
      <c r="AM60" s="32" t="str">
        <f t="shared" si="57"/>
        <v>1-0,000369542906721031i</v>
      </c>
      <c r="AN60" s="32">
        <f t="shared" si="79"/>
        <v>1.00000006828098</v>
      </c>
      <c r="AO60" s="32">
        <f t="shared" si="80"/>
        <v>-0.000369542889899198</v>
      </c>
      <c r="AP60" s="30" t="str">
        <f t="shared" si="81"/>
        <v>75,3937943268116-2,3616300370624i</v>
      </c>
      <c r="AQ60" s="32">
        <f t="shared" si="82"/>
        <v>37.550971169185</v>
      </c>
      <c r="AR60" s="31">
        <f t="shared" si="83"/>
        <v>-1.79414241967031</v>
      </c>
      <c r="AS60" t="str">
        <f t="shared" si="58"/>
        <v>-0,000338461538461538</v>
      </c>
      <c r="AT60" t="str">
        <f t="shared" si="59"/>
        <v>0,0000289302313901365i</v>
      </c>
      <c r="AU60">
        <f t="shared" si="84"/>
        <v>2.89302313901365e-5</v>
      </c>
      <c r="AV60">
        <f t="shared" si="85"/>
        <v>1.5707963267949</v>
      </c>
      <c r="AW60" t="str">
        <f t="shared" si="60"/>
        <v>1+0,00469526945533851i</v>
      </c>
      <c r="AX60">
        <f t="shared" si="86"/>
        <v>1.00001102271688</v>
      </c>
      <c r="AY60">
        <f t="shared" si="87"/>
        <v>0.00469523495252081</v>
      </c>
      <c r="AZ60" t="str">
        <f t="shared" si="61"/>
        <v>1+0,0409856237775421i</v>
      </c>
      <c r="BA60">
        <f t="shared" si="88"/>
        <v>1.00083955824919</v>
      </c>
      <c r="BB60">
        <f t="shared" si="89"/>
        <v>0.04096269737176</v>
      </c>
      <c r="BC60" s="30" t="str">
        <f t="shared" si="90"/>
        <v>-0,424559977154306+11,7012271384685i</v>
      </c>
      <c r="BD60" s="32">
        <f t="shared" si="91"/>
        <v>21.3703418480341</v>
      </c>
      <c r="BE60" s="31">
        <f t="shared" si="92"/>
        <v>92.0779725302717</v>
      </c>
      <c r="BF60" s="30" t="str">
        <f t="shared" si="93"/>
        <v>2,61557260889535+175,411452322609i</v>
      </c>
      <c r="BG60" s="68">
        <f t="shared" si="94"/>
        <v>44.8821243896113</v>
      </c>
      <c r="BH60" s="31">
        <f t="shared" si="95"/>
        <v>89.1457218768967</v>
      </c>
      <c r="BI60" s="30" t="str">
        <f t="shared" si="103"/>
        <v>-4,37521811627065+883,202565843583i</v>
      </c>
      <c r="BJ60" s="68">
        <f t="shared" si="97"/>
        <v>58.9213130172191</v>
      </c>
      <c r="BK60" s="31">
        <f t="shared" si="104"/>
        <v>90.2838301106014</v>
      </c>
      <c r="BL60" s="32">
        <f t="shared" si="99"/>
        <v>44.8821243896113</v>
      </c>
      <c r="BM60" s="31">
        <f t="shared" si="100"/>
        <v>89.1457218768967</v>
      </c>
      <c r="BO60">
        <f t="shared" si="101"/>
        <v>0</v>
      </c>
      <c r="BP60">
        <f t="shared" si="102"/>
        <v>0</v>
      </c>
    </row>
    <row r="61" spans="1:68">
      <c r="A61" t="s">
        <v>448</v>
      </c>
      <c r="B61" s="12">
        <f>(CCOMP+CHF)/(RCOMP*CHF*CCOMP)</f>
        <v>35198.1102635787</v>
      </c>
      <c r="E61" t="s">
        <v>507</v>
      </c>
      <c r="N61" s="7">
        <v>43</v>
      </c>
      <c r="O61" s="18">
        <f t="shared" si="62"/>
        <v>26.9153480392692</v>
      </c>
      <c r="P61" s="86" t="str">
        <f t="shared" si="50"/>
        <v>15</v>
      </c>
      <c r="Q61" s="4" t="str">
        <f t="shared" si="51"/>
        <v>1+0,0493249514735719i</v>
      </c>
      <c r="R61" s="4">
        <f t="shared" si="63"/>
        <v>1.00121573641142</v>
      </c>
      <c r="S61" s="4">
        <f t="shared" si="64"/>
        <v>0.0492850080382894</v>
      </c>
      <c r="T61" s="4" t="str">
        <f t="shared" si="52"/>
        <v>1+0,0000338228238675922i</v>
      </c>
      <c r="U61" s="4">
        <f t="shared" si="65"/>
        <v>1.00000000057199</v>
      </c>
      <c r="V61" s="4">
        <f t="shared" si="66"/>
        <v>3.38228238546946e-5</v>
      </c>
      <c r="W61" t="str">
        <f t="shared" si="53"/>
        <v>1-0,00295949708841432i</v>
      </c>
      <c r="X61" s="4">
        <f t="shared" si="67"/>
        <v>1.00000437930192</v>
      </c>
      <c r="Y61" s="4">
        <f t="shared" si="68"/>
        <v>-0.00295948844808662</v>
      </c>
      <c r="Z61" t="str">
        <f t="shared" si="54"/>
        <v>0,999999994848455+0,000157034539385249i</v>
      </c>
      <c r="AA61" s="4">
        <f t="shared" si="69"/>
        <v>1.00000000717838</v>
      </c>
      <c r="AB61" s="4">
        <f t="shared" si="70"/>
        <v>0.000157034538903404</v>
      </c>
      <c r="AC61" s="67" t="str">
        <f t="shared" si="71"/>
        <v>14,9613133605986-0,784206686897252i</v>
      </c>
      <c r="AD61" s="68">
        <f t="shared" si="72"/>
        <v>23.5113098232224</v>
      </c>
      <c r="AE61" s="31">
        <f t="shared" si="73"/>
        <v>-3.00044866271427</v>
      </c>
      <c r="AF61" s="32" t="str">
        <f t="shared" si="74"/>
        <v>75,4669735059805</v>
      </c>
      <c r="AG61" s="32" t="str">
        <f t="shared" si="55"/>
        <v>1+0,0317088973758677i</v>
      </c>
      <c r="AH61" s="32">
        <f t="shared" si="75"/>
        <v>1.00050260078262</v>
      </c>
      <c r="AI61" s="32">
        <f t="shared" si="76"/>
        <v>0.031698276501353</v>
      </c>
      <c r="AJ61" s="32" t="str">
        <f t="shared" si="56"/>
        <v>1+0,0000338228238675922i</v>
      </c>
      <c r="AK61" s="32">
        <f t="shared" si="77"/>
        <v>1.00000000057199</v>
      </c>
      <c r="AL61" s="32">
        <f t="shared" si="78"/>
        <v>3.38228238546946e-5</v>
      </c>
      <c r="AM61" s="32" t="str">
        <f t="shared" si="57"/>
        <v>1-0,000378150666794692i</v>
      </c>
      <c r="AN61" s="32">
        <f t="shared" si="79"/>
        <v>1.00000007149896</v>
      </c>
      <c r="AO61" s="32">
        <f t="shared" si="80"/>
        <v>-0.000378150648769773</v>
      </c>
      <c r="AP61" s="30" t="str">
        <f t="shared" si="81"/>
        <v>75,3903489625057-2,4165302185825i</v>
      </c>
      <c r="AQ61" s="32">
        <f t="shared" si="82"/>
        <v>37.5507748595122</v>
      </c>
      <c r="AR61" s="31">
        <f t="shared" si="83"/>
        <v>-1.83590599250279</v>
      </c>
      <c r="AS61" t="str">
        <f t="shared" si="58"/>
        <v>-0,000338461538461538</v>
      </c>
      <c r="AT61" t="str">
        <f t="shared" si="59"/>
        <v>0,0000296041030465874i</v>
      </c>
      <c r="AU61">
        <f t="shared" si="84"/>
        <v>2.96041030465874e-5</v>
      </c>
      <c r="AV61">
        <f t="shared" si="85"/>
        <v>1.5707963267949</v>
      </c>
      <c r="AW61" t="str">
        <f t="shared" si="60"/>
        <v>1+0,00480463633051778i</v>
      </c>
      <c r="AX61">
        <f t="shared" si="86"/>
        <v>1.00001154219852</v>
      </c>
      <c r="AY61">
        <f t="shared" si="87"/>
        <v>0.00480459936010558</v>
      </c>
      <c r="AZ61" t="str">
        <f t="shared" si="61"/>
        <v>1+0,0419403015958143i</v>
      </c>
      <c r="BA61">
        <f t="shared" si="88"/>
        <v>1.00087910803351</v>
      </c>
      <c r="BB61">
        <f t="shared" si="89"/>
        <v>0.0419157366746335</v>
      </c>
      <c r="BC61" s="30" t="str">
        <f t="shared" si="90"/>
        <v>-0,424559536057282+11,4349664971069i</v>
      </c>
      <c r="BD61" s="32">
        <f t="shared" si="91"/>
        <v>21.1706805660376</v>
      </c>
      <c r="BE61" s="31">
        <f t="shared" si="92"/>
        <v>92.1263115410529</v>
      </c>
      <c r="BF61" s="30" t="str">
        <f t="shared" si="93"/>
        <v>2,61540893229392+171,415059458325i</v>
      </c>
      <c r="BG61" s="68">
        <f t="shared" si="94"/>
        <v>44.6819903892601</v>
      </c>
      <c r="BH61" s="31">
        <f t="shared" si="95"/>
        <v>89.1258628783387</v>
      </c>
      <c r="BI61" s="30" t="str">
        <f t="shared" si="103"/>
        <v>-4,37474948998071+863,11207553992i</v>
      </c>
      <c r="BJ61" s="68">
        <f t="shared" si="97"/>
        <v>58.7214554255498</v>
      </c>
      <c r="BK61" s="31">
        <f t="shared" si="104"/>
        <v>90.2904055485501</v>
      </c>
      <c r="BL61" s="32">
        <f t="shared" si="99"/>
        <v>44.6819903892601</v>
      </c>
      <c r="BM61" s="31">
        <f t="shared" si="100"/>
        <v>89.1258628783387</v>
      </c>
      <c r="BO61">
        <f t="shared" si="101"/>
        <v>0</v>
      </c>
      <c r="BP61">
        <f t="shared" si="102"/>
        <v>0</v>
      </c>
    </row>
    <row r="62" spans="1:68">
      <c r="N62" s="7">
        <v>44</v>
      </c>
      <c r="O62" s="18">
        <f t="shared" si="62"/>
        <v>27.5422870333817</v>
      </c>
      <c r="P62" s="86" t="str">
        <f t="shared" si="50"/>
        <v>15</v>
      </c>
      <c r="Q62" s="4" t="str">
        <f t="shared" si="51"/>
        <v>1+0,0504738771874945i</v>
      </c>
      <c r="R62" s="4">
        <f t="shared" si="63"/>
        <v>1.00127299587991</v>
      </c>
      <c r="S62" s="4">
        <f t="shared" si="64"/>
        <v>0.0504310799638257</v>
      </c>
      <c r="T62" s="4" t="str">
        <f t="shared" si="52"/>
        <v>1+0,0000346106586428534i</v>
      </c>
      <c r="U62" s="4">
        <f t="shared" si="65"/>
        <v>1.00000000059895</v>
      </c>
      <c r="V62" s="4">
        <f t="shared" si="66"/>
        <v>3.46106586290334e-5</v>
      </c>
      <c r="W62" t="str">
        <f t="shared" si="53"/>
        <v>1-0,00302843263124968i</v>
      </c>
      <c r="X62" s="4">
        <f t="shared" si="67"/>
        <v>1.00000458569159</v>
      </c>
      <c r="Y62" s="4">
        <f t="shared" si="68"/>
        <v>-0.00302842337297404</v>
      </c>
      <c r="Z62" t="str">
        <f t="shared" si="54"/>
        <v>0,999999994605671+0,000160692343698962i</v>
      </c>
      <c r="AA62" s="4">
        <f t="shared" si="69"/>
        <v>1.00000000751669</v>
      </c>
      <c r="AB62" s="4">
        <f t="shared" si="70"/>
        <v>0.000160692343182655</v>
      </c>
      <c r="AC62" s="67" t="str">
        <f t="shared" si="71"/>
        <v>14,9594947485746-0,802381414770168i</v>
      </c>
      <c r="AD62" s="68">
        <f t="shared" si="72"/>
        <v>23.5108148818794</v>
      </c>
      <c r="AE62" s="31">
        <f t="shared" si="73"/>
        <v>-3.07022786446299</v>
      </c>
      <c r="AF62" s="32" t="str">
        <f t="shared" si="74"/>
        <v>75,4669735059805</v>
      </c>
      <c r="AG62" s="32" t="str">
        <f t="shared" si="55"/>
        <v>1+0,0324474924776751i</v>
      </c>
      <c r="AH62" s="32">
        <f t="shared" si="75"/>
        <v>1.00052628139799</v>
      </c>
      <c r="AI62" s="32">
        <f t="shared" si="76"/>
        <v>0.0324361123288761</v>
      </c>
      <c r="AJ62" s="32" t="str">
        <f t="shared" si="56"/>
        <v>1+0,0000346106586428534i</v>
      </c>
      <c r="AK62" s="32">
        <f t="shared" si="77"/>
        <v>1.00000000059895</v>
      </c>
      <c r="AL62" s="32">
        <f t="shared" si="78"/>
        <v>3.46106586290334e-5</v>
      </c>
      <c r="AM62" s="32" t="str">
        <f t="shared" si="57"/>
        <v>1-0,000386958927357304i</v>
      </c>
      <c r="AN62" s="32">
        <f t="shared" si="79"/>
        <v>1.0000000748686</v>
      </c>
      <c r="AO62" s="32">
        <f t="shared" si="80"/>
        <v>-0.000386958908043255</v>
      </c>
      <c r="AP62" s="30" t="str">
        <f t="shared" si="81"/>
        <v>75,3867415570466-2,47270138704866i</v>
      </c>
      <c r="AQ62" s="32">
        <f t="shared" si="82"/>
        <v>37.5505693075626</v>
      </c>
      <c r="AR62" s="31">
        <f t="shared" si="83"/>
        <v>-1.87864040786711</v>
      </c>
      <c r="AS62" t="str">
        <f t="shared" si="58"/>
        <v>-0,000338461538461538</v>
      </c>
      <c r="AT62" t="str">
        <f t="shared" si="59"/>
        <v>0,0000302936711903302i</v>
      </c>
      <c r="AU62">
        <f t="shared" si="84"/>
        <v>3.02936711903302e-5</v>
      </c>
      <c r="AV62">
        <f t="shared" si="85"/>
        <v>1.5707963267949</v>
      </c>
      <c r="AW62" t="str">
        <f t="shared" si="60"/>
        <v>1+0,00491655068747637i</v>
      </c>
      <c r="AX62">
        <f t="shared" si="86"/>
        <v>1.00001208616229</v>
      </c>
      <c r="AY62">
        <f t="shared" si="87"/>
        <v>0.00491651107299183</v>
      </c>
      <c r="AZ62" t="str">
        <f t="shared" si="61"/>
        <v>1+0,0429172167171382i</v>
      </c>
      <c r="BA62">
        <f t="shared" si="88"/>
        <v>1.00092052006678</v>
      </c>
      <c r="BB62">
        <f t="shared" si="89"/>
        <v>0.0428908962371024</v>
      </c>
      <c r="BC62" s="30" t="str">
        <f t="shared" si="90"/>
        <v>-0,424559074172981+11,174768826142i</v>
      </c>
      <c r="BD62" s="32">
        <f t="shared" si="91"/>
        <v>20.9710352182625</v>
      </c>
      <c r="BE62" s="31">
        <f t="shared" si="92"/>
        <v>92.1757719995077</v>
      </c>
      <c r="BF62" s="30" t="str">
        <f t="shared" si="93"/>
        <v>2,61523757989898+167,509553881795i</v>
      </c>
      <c r="BG62" s="68">
        <f t="shared" si="94"/>
        <v>44.4818501001419</v>
      </c>
      <c r="BH62" s="31">
        <f t="shared" si="95"/>
        <v>89.1055441350448</v>
      </c>
      <c r="BI62" s="30" t="str">
        <f t="shared" si="103"/>
        <v>-4,37425882402805+843,4792172677i</v>
      </c>
      <c r="BJ62" s="68">
        <f t="shared" si="97"/>
        <v>58.5216045258251</v>
      </c>
      <c r="BK62" s="31">
        <f t="shared" si="104"/>
        <v>90.2971315916406</v>
      </c>
      <c r="BL62" s="32">
        <f t="shared" si="99"/>
        <v>44.4818501001419</v>
      </c>
      <c r="BM62" s="31">
        <f t="shared" si="100"/>
        <v>89.1055441350448</v>
      </c>
      <c r="BO62">
        <f t="shared" si="101"/>
        <v>0</v>
      </c>
      <c r="BP62">
        <f t="shared" si="102"/>
        <v>0</v>
      </c>
    </row>
    <row r="63" spans="1:68">
      <c r="N63" s="7">
        <v>45</v>
      </c>
      <c r="O63" s="18">
        <f t="shared" si="62"/>
        <v>28.1838293126445</v>
      </c>
      <c r="P63" s="86" t="str">
        <f t="shared" si="50"/>
        <v>15</v>
      </c>
      <c r="Q63" s="4" t="str">
        <f t="shared" si="51"/>
        <v>1+0,0516495648192026i</v>
      </c>
      <c r="R63" s="4">
        <f t="shared" si="63"/>
        <v>1.00133295039463</v>
      </c>
      <c r="S63" s="4">
        <f t="shared" si="64"/>
        <v>0.0516037100641668</v>
      </c>
      <c r="T63" s="4" t="str">
        <f t="shared" si="52"/>
        <v>1+0,0000354168444474532i</v>
      </c>
      <c r="U63" s="4">
        <f t="shared" si="65"/>
        <v>1.00000000062718</v>
      </c>
      <c r="V63" s="4">
        <f t="shared" si="66"/>
        <v>3.54168444326448e-5</v>
      </c>
      <c r="W63" t="str">
        <f t="shared" si="53"/>
        <v>1-0,00309897388915216i</v>
      </c>
      <c r="X63" s="4">
        <f t="shared" si="67"/>
        <v>1.00000480180805</v>
      </c>
      <c r="Y63" s="4">
        <f t="shared" si="68"/>
        <v>-0.00309896396873365</v>
      </c>
      <c r="Z63" t="str">
        <f t="shared" si="54"/>
        <v>0,999999994351444+0,000164435349220318i</v>
      </c>
      <c r="AA63" s="4">
        <f t="shared" si="69"/>
        <v>1.00000000787094</v>
      </c>
      <c r="AB63" s="4">
        <f t="shared" si="70"/>
        <v>0.000164435348667085</v>
      </c>
      <c r="AC63" s="67" t="str">
        <f t="shared" si="71"/>
        <v>14,9575908738122-0,820972944533877i</v>
      </c>
      <c r="AD63" s="68">
        <f t="shared" si="72"/>
        <v>23.5102966755554</v>
      </c>
      <c r="AE63" s="31">
        <f t="shared" si="73"/>
        <v>-3.1416245659368</v>
      </c>
      <c r="AF63" s="32" t="str">
        <f t="shared" si="74"/>
        <v>75,4669735059805</v>
      </c>
      <c r="AG63" s="32" t="str">
        <f t="shared" si="55"/>
        <v>1+0,0332032916694874i</v>
      </c>
      <c r="AH63" s="32">
        <f t="shared" si="75"/>
        <v>1.00055107744567</v>
      </c>
      <c r="AI63" s="32">
        <f t="shared" si="76"/>
        <v>0.0331910979830561</v>
      </c>
      <c r="AJ63" s="32" t="str">
        <f t="shared" si="56"/>
        <v>1+0,0000354168444474532i</v>
      </c>
      <c r="AK63" s="32">
        <f t="shared" si="77"/>
        <v>1.00000000062718</v>
      </c>
      <c r="AL63" s="32">
        <f t="shared" si="78"/>
        <v>3.54168444326448e-5</v>
      </c>
      <c r="AM63" s="32" t="str">
        <f t="shared" si="57"/>
        <v>1-0,000395972358665207i</v>
      </c>
      <c r="AN63" s="32">
        <f t="shared" si="79"/>
        <v>1.00000007839705</v>
      </c>
      <c r="AO63" s="32">
        <f t="shared" si="80"/>
        <v>-0.000395972337969831</v>
      </c>
      <c r="AP63" s="30" t="str">
        <f t="shared" si="81"/>
        <v>75,3829645058285-2,53017259083655i</v>
      </c>
      <c r="AQ63" s="32">
        <f t="shared" si="82"/>
        <v>37.5503540786778</v>
      </c>
      <c r="AR63" s="31">
        <f t="shared" si="83"/>
        <v>-1.92236813989423</v>
      </c>
      <c r="AS63" t="str">
        <f t="shared" si="58"/>
        <v>-0,000338461538461538</v>
      </c>
      <c r="AT63" t="str">
        <f t="shared" si="59"/>
        <v>0,0000309993014395223i</v>
      </c>
      <c r="AU63">
        <f t="shared" si="84"/>
        <v>3.09993014395223e-5</v>
      </c>
      <c r="AV63">
        <f t="shared" si="85"/>
        <v>1.5707963267949</v>
      </c>
      <c r="AW63" t="str">
        <f t="shared" si="60"/>
        <v>1+0,00503107186468769i</v>
      </c>
      <c r="AX63">
        <f t="shared" si="86"/>
        <v>1.00001265576197</v>
      </c>
      <c r="AY63">
        <f t="shared" si="87"/>
        <v>0.00503102941703175</v>
      </c>
      <c r="AZ63" t="str">
        <f t="shared" si="61"/>
        <v>1+0,043916887114842i</v>
      </c>
      <c r="BA63">
        <f t="shared" si="88"/>
        <v>1.00096388195272</v>
      </c>
      <c r="BB63">
        <f t="shared" si="89"/>
        <v>0.0438886856789317</v>
      </c>
      <c r="BC63" s="30" t="str">
        <f t="shared" si="90"/>
        <v>-0,424558590521817+10,92049616531i</v>
      </c>
      <c r="BD63" s="32">
        <f t="shared" si="91"/>
        <v>20.7714065528662</v>
      </c>
      <c r="BE63" s="31">
        <f t="shared" si="92"/>
        <v>92.226379705577</v>
      </c>
      <c r="BF63" s="30" t="str">
        <f t="shared" si="93"/>
        <v>2,61505819361776+163,69286489593i</v>
      </c>
      <c r="BG63" s="68">
        <f t="shared" si="94"/>
        <v>44.2817032284217</v>
      </c>
      <c r="BH63" s="31">
        <f t="shared" si="95"/>
        <v>89.0847551396402</v>
      </c>
      <c r="BI63" s="30" t="str">
        <f t="shared" si="103"/>
        <v>-4,37374508414769+824,293581324543i</v>
      </c>
      <c r="BJ63" s="68">
        <f t="shared" si="97"/>
        <v>58.3217606315441</v>
      </c>
      <c r="BK63" s="31">
        <f t="shared" si="104"/>
        <v>90.3040115656827</v>
      </c>
      <c r="BL63" s="32">
        <f t="shared" si="99"/>
        <v>44.2817032284217</v>
      </c>
      <c r="BM63" s="31">
        <f t="shared" si="100"/>
        <v>89.0847551396402</v>
      </c>
      <c r="BO63">
        <f t="shared" si="101"/>
        <v>0</v>
      </c>
      <c r="BP63">
        <f t="shared" si="102"/>
        <v>0</v>
      </c>
    </row>
    <row r="64" spans="1:68">
      <c r="N64" s="7">
        <v>46</v>
      </c>
      <c r="O64" s="18">
        <f t="shared" si="62"/>
        <v>28.8403150312661</v>
      </c>
      <c r="P64" s="86" t="str">
        <f t="shared" si="50"/>
        <v>15</v>
      </c>
      <c r="Q64" s="4" t="str">
        <f t="shared" si="51"/>
        <v>1+0,0528526377338406i</v>
      </c>
      <c r="R64" s="4">
        <f t="shared" si="63"/>
        <v>1.0013957266313</v>
      </c>
      <c r="S64" s="4">
        <f t="shared" si="64"/>
        <v>0.0528035071764848</v>
      </c>
      <c r="T64" s="4" t="str">
        <f t="shared" si="52"/>
        <v>1+0,0000362418087317764i</v>
      </c>
      <c r="U64" s="4">
        <f t="shared" si="65"/>
        <v>1.00000000065673</v>
      </c>
      <c r="V64" s="4">
        <f t="shared" si="66"/>
        <v>3.62418087159089e-5</v>
      </c>
      <c r="W64" t="str">
        <f t="shared" si="53"/>
        <v>1-0,00317115826403044i</v>
      </c>
      <c r="X64" s="4">
        <f t="shared" si="67"/>
        <v>1.00000502810973</v>
      </c>
      <c r="Y64" s="4">
        <f t="shared" si="68"/>
        <v>-0.00317114763411338</v>
      </c>
      <c r="Z64" t="str">
        <f t="shared" si="54"/>
        <v>0,999999994085235+0,00016826554054039i</v>
      </c>
      <c r="AA64" s="4">
        <f t="shared" si="69"/>
        <v>1.00000000824188</v>
      </c>
      <c r="AB64" s="4">
        <f t="shared" si="70"/>
        <v>0.000168265539947591</v>
      </c>
      <c r="AC64" s="67" t="str">
        <f t="shared" si="71"/>
        <v>14,9555977608372-0,839990519679364i</v>
      </c>
      <c r="AD64" s="68">
        <f t="shared" si="72"/>
        <v>23.5097541136639</v>
      </c>
      <c r="AE64" s="31">
        <f t="shared" si="73"/>
        <v>-3.21467588294408</v>
      </c>
      <c r="AF64" s="32" t="str">
        <f t="shared" si="74"/>
        <v>75,4669735059805</v>
      </c>
      <c r="AG64" s="32" t="str">
        <f t="shared" si="55"/>
        <v>1+0,0339766956860404i</v>
      </c>
      <c r="AH64" s="32">
        <f t="shared" si="75"/>
        <v>1.00057704143646</v>
      </c>
      <c r="AI64" s="32">
        <f t="shared" si="76"/>
        <v>0.0339636303225575</v>
      </c>
      <c r="AJ64" s="32" t="str">
        <f t="shared" si="56"/>
        <v>1+0,0000362418087317764i</v>
      </c>
      <c r="AK64" s="32">
        <f t="shared" si="77"/>
        <v>1.00000000065673</v>
      </c>
      <c r="AL64" s="32">
        <f t="shared" si="78"/>
        <v>3.62418087159089e-5</v>
      </c>
      <c r="AM64" s="32" t="str">
        <f t="shared" si="57"/>
        <v>1-0,000405195739758987i</v>
      </c>
      <c r="AN64" s="32">
        <f t="shared" si="79"/>
        <v>1.00000008209179</v>
      </c>
      <c r="AO64" s="32">
        <f t="shared" si="80"/>
        <v>-0.000405195717583492</v>
      </c>
      <c r="AP64" s="30" t="str">
        <f t="shared" si="81"/>
        <v>75,3790098489468-2,58897351529046i</v>
      </c>
      <c r="AQ64" s="32">
        <f t="shared" si="82"/>
        <v>37.5501287178033</v>
      </c>
      <c r="AR64" s="31">
        <f t="shared" si="83"/>
        <v>-1.96711217623805</v>
      </c>
      <c r="AS64" t="str">
        <f t="shared" si="58"/>
        <v>-0,000338461538461538</v>
      </c>
      <c r="AT64" t="str">
        <f t="shared" si="59"/>
        <v>0,0000317213679286618i</v>
      </c>
      <c r="AU64">
        <f t="shared" si="84"/>
        <v>3.17213679286618e-5</v>
      </c>
      <c r="AV64">
        <f t="shared" si="85"/>
        <v>1.5707963267949</v>
      </c>
      <c r="AW64" t="str">
        <f t="shared" si="60"/>
        <v>1+0,00514826058279578i</v>
      </c>
      <c r="AX64">
        <f t="shared" si="86"/>
        <v>1.0000132522057</v>
      </c>
      <c r="AY64">
        <f t="shared" si="87"/>
        <v>0.00514821509934554</v>
      </c>
      <c r="AZ64" t="str">
        <f t="shared" si="61"/>
        <v>1+0,0449398428274027i</v>
      </c>
      <c r="BA64">
        <f t="shared" si="88"/>
        <v>1.00100928540816</v>
      </c>
      <c r="BB64">
        <f t="shared" si="89"/>
        <v>0.0449096260897007</v>
      </c>
      <c r="BC64" s="30" t="str">
        <f t="shared" si="90"/>
        <v>-0,424558084078056+10,6720136958655i</v>
      </c>
      <c r="BD64" s="32">
        <f t="shared" si="91"/>
        <v>20.5717953529972</v>
      </c>
      <c r="BE64" s="31">
        <f t="shared" si="92"/>
        <v>92.2781610372324</v>
      </c>
      <c r="BF64" s="30" t="str">
        <f t="shared" si="93"/>
        <v>2,61487039883225+159,962968899189i</v>
      </c>
      <c r="BG64" s="68">
        <f t="shared" si="94"/>
        <v>44.0815494666612</v>
      </c>
      <c r="BH64" s="31">
        <f t="shared" si="95"/>
        <v>89.0634851542883</v>
      </c>
      <c r="BI64" s="30" t="str">
        <f t="shared" si="103"/>
        <v>-4,37320718775693+805,544995124121i</v>
      </c>
      <c r="BJ64" s="68">
        <f t="shared" si="97"/>
        <v>58.1219240708005</v>
      </c>
      <c r="BK64" s="31">
        <f t="shared" si="104"/>
        <v>90.3110488609944</v>
      </c>
      <c r="BL64" s="32">
        <f t="shared" si="99"/>
        <v>44.0815494666612</v>
      </c>
      <c r="BM64" s="31">
        <f t="shared" si="100"/>
        <v>89.0634851542883</v>
      </c>
      <c r="BO64">
        <f t="shared" si="101"/>
        <v>0</v>
      </c>
      <c r="BP64">
        <f t="shared" si="102"/>
        <v>0</v>
      </c>
    </row>
    <row r="65" spans="1:68">
      <c r="A65" s="79" t="s">
        <v>508</v>
      </c>
      <c r="N65" s="7">
        <v>47</v>
      </c>
      <c r="O65" s="18">
        <f t="shared" si="62"/>
        <v>29.5120922666639</v>
      </c>
      <c r="P65" s="86" t="str">
        <f t="shared" si="50"/>
        <v>15</v>
      </c>
      <c r="Q65" s="4" t="str">
        <f t="shared" si="51"/>
        <v>1+0,0540837338165924i</v>
      </c>
      <c r="R65" s="4">
        <f t="shared" si="63"/>
        <v>1.00146145720319</v>
      </c>
      <c r="S65" s="4">
        <f t="shared" si="64"/>
        <v>0.0540310936242621</v>
      </c>
      <c r="T65" s="4" t="str">
        <f t="shared" si="52"/>
        <v>1+0,0000370859889028062i</v>
      </c>
      <c r="U65" s="4">
        <f t="shared" si="65"/>
        <v>1.00000000068769</v>
      </c>
      <c r="V65" s="4">
        <f t="shared" si="66"/>
        <v>3.70859888858039e-5</v>
      </c>
      <c r="W65" t="str">
        <f t="shared" si="53"/>
        <v>1-0,00324502402899555i</v>
      </c>
      <c r="X65" s="4">
        <f t="shared" si="67"/>
        <v>1.00000526507661</v>
      </c>
      <c r="Y65" s="4">
        <f t="shared" si="68"/>
        <v>-0.00324501263883744</v>
      </c>
      <c r="Z65" t="str">
        <f t="shared" si="54"/>
        <v>0,999999993806481+0,000172184948477314i</v>
      </c>
      <c r="AA65" s="4">
        <f t="shared" si="69"/>
        <v>1.00000000863031</v>
      </c>
      <c r="AB65" s="4">
        <f t="shared" si="70"/>
        <v>0.000172184947842118</v>
      </c>
      <c r="AC65" s="67" t="str">
        <f t="shared" si="71"/>
        <v>14,9535112509238-0,859443566084584i</v>
      </c>
      <c r="AD65" s="68">
        <f t="shared" si="72"/>
        <v>23.5091860547833</v>
      </c>
      <c r="AE65" s="31">
        <f t="shared" si="73"/>
        <v>-3.28941975598323</v>
      </c>
      <c r="AF65" s="32" t="str">
        <f t="shared" si="74"/>
        <v>75,4669735059805</v>
      </c>
      <c r="AG65" s="32" t="str">
        <f t="shared" si="55"/>
        <v>1+0,0347681145963808i</v>
      </c>
      <c r="AH65" s="32">
        <f t="shared" si="75"/>
        <v>1.00060422835034</v>
      </c>
      <c r="AI65" s="32">
        <f t="shared" si="76"/>
        <v>0.0347541152637275</v>
      </c>
      <c r="AJ65" s="32" t="str">
        <f t="shared" si="56"/>
        <v>1+0,0000370859889028062i</v>
      </c>
      <c r="AK65" s="32">
        <f t="shared" si="77"/>
        <v>1.00000000068769</v>
      </c>
      <c r="AL65" s="32">
        <f t="shared" si="78"/>
        <v>3.70859888858039e-5</v>
      </c>
      <c r="AM65" s="32" t="str">
        <f t="shared" si="57"/>
        <v>1-0,000414633960997387i</v>
      </c>
      <c r="AN65" s="32">
        <f t="shared" si="79"/>
        <v>1.00000008596066</v>
      </c>
      <c r="AO65" s="32">
        <f t="shared" si="80"/>
        <v>-0.000414633937235917</v>
      </c>
      <c r="AP65" s="30" t="str">
        <f t="shared" si="81"/>
        <v>75,37486925475-2,64913449474367i</v>
      </c>
      <c r="AQ65" s="32">
        <f t="shared" si="82"/>
        <v>37.5498927485347</v>
      </c>
      <c r="AR65" s="31">
        <f t="shared" si="83"/>
        <v>-2.01289602932707</v>
      </c>
      <c r="AS65" t="str">
        <f t="shared" si="58"/>
        <v>-0,000338461538461538</v>
      </c>
      <c r="AT65" t="str">
        <f t="shared" si="59"/>
        <v>0,0000324602535069591i</v>
      </c>
      <c r="AU65">
        <f t="shared" si="84"/>
        <v>3.24602535069591e-5</v>
      </c>
      <c r="AV65">
        <f t="shared" si="85"/>
        <v>1.5707963267949</v>
      </c>
      <c r="AW65" t="str">
        <f t="shared" si="60"/>
        <v>1+0,00526817897681015i</v>
      </c>
      <c r="AX65">
        <f t="shared" si="86"/>
        <v>1.00001387675858</v>
      </c>
      <c r="AY65">
        <f t="shared" si="87"/>
        <v>0.00526813024045167</v>
      </c>
      <c r="AZ65" t="str">
        <f t="shared" si="61"/>
        <v>1+0,0459866262394797i</v>
      </c>
      <c r="BA65">
        <f t="shared" si="88"/>
        <v>1.00105682645537</v>
      </c>
      <c r="BB65">
        <f t="shared" si="89"/>
        <v>0.0459542502675155</v>
      </c>
      <c r="BC65" s="30" t="str">
        <f t="shared" si="90"/>
        <v>-0,424557553767633+10,4291896690974i</v>
      </c>
      <c r="BD65" s="32">
        <f t="shared" si="91"/>
        <v>20.3722024384168</v>
      </c>
      <c r="BE65" s="31">
        <f t="shared" si="92"/>
        <v>92.3311429623134</v>
      </c>
      <c r="BF65" s="30" t="str">
        <f t="shared" si="93"/>
        <v>2,61467380365259+156,317888312884i</v>
      </c>
      <c r="BG65" s="68">
        <f t="shared" si="94"/>
        <v>43.8813884932001</v>
      </c>
      <c r="BH65" s="31">
        <f t="shared" si="95"/>
        <v>89.0417232063302</v>
      </c>
      <c r="BI65" s="30" t="str">
        <f t="shared" si="103"/>
        <v>-4,37264400172158+787,223517801896i</v>
      </c>
      <c r="BJ65" s="68">
        <f t="shared" si="97"/>
        <v>57.9220951869515</v>
      </c>
      <c r="BK65" s="31">
        <f t="shared" si="104"/>
        <v>90.3182469329864</v>
      </c>
      <c r="BL65" s="32">
        <f t="shared" si="99"/>
        <v>43.8813884932001</v>
      </c>
      <c r="BM65" s="31">
        <f t="shared" si="100"/>
        <v>89.0417232063302</v>
      </c>
      <c r="BO65">
        <f t="shared" si="101"/>
        <v>0</v>
      </c>
      <c r="BP65">
        <f t="shared" si="102"/>
        <v>0</v>
      </c>
    </row>
    <row r="66" spans="1:68">
      <c r="A66" t="s">
        <v>509</v>
      </c>
      <c r="B66">
        <f>SQRT((2*IOUT*Lm*Fsw*(VOUT-VIN_var)/(VIN_var^2)))</f>
        <v>3.35410196624968</v>
      </c>
      <c r="E66" t="s">
        <v>510</v>
      </c>
      <c r="N66" s="7">
        <v>48</v>
      </c>
      <c r="O66" s="18">
        <f t="shared" si="62"/>
        <v>30.1995172040202</v>
      </c>
      <c r="P66" s="86" t="str">
        <f t="shared" si="50"/>
        <v>15</v>
      </c>
      <c r="Q66" s="4" t="str">
        <f t="shared" si="51"/>
        <v>1+0,0553435058108966i</v>
      </c>
      <c r="R66" s="4">
        <f t="shared" si="63"/>
        <v>1.00153028093785</v>
      </c>
      <c r="S66" s="4">
        <f t="shared" si="64"/>
        <v>0.0552871054822189</v>
      </c>
      <c r="T66" s="4" t="str">
        <f t="shared" si="52"/>
        <v>1+0,0000379498325560434i</v>
      </c>
      <c r="U66" s="4">
        <f t="shared" si="65"/>
        <v>1.00000000072009</v>
      </c>
      <c r="V66" s="4">
        <f t="shared" si="66"/>
        <v>3.79498325378251e-5</v>
      </c>
      <c r="W66" t="str">
        <f t="shared" si="53"/>
        <v>1-0,0033206103486538i</v>
      </c>
      <c r="X66" s="4">
        <f t="shared" si="67"/>
        <v>1.00000551321135</v>
      </c>
      <c r="Y66" s="4">
        <f t="shared" si="68"/>
        <v>-0.00332059814388313</v>
      </c>
      <c r="Z66" t="str">
        <f t="shared" si="54"/>
        <v>0,99999999351459+0,000176195651153058i</v>
      </c>
      <c r="AA66" s="4">
        <f t="shared" si="69"/>
        <v>1.00000000903704</v>
      </c>
      <c r="AB66" s="4">
        <f t="shared" si="70"/>
        <v>0.000176195650472433</v>
      </c>
      <c r="AC66" s="67" t="str">
        <f t="shared" si="71"/>
        <v>14,9513269938503-0,879341693949507i</v>
      </c>
      <c r="AD66" s="68">
        <f t="shared" si="72"/>
        <v>23.5085913043153</v>
      </c>
      <c r="AE66" s="31">
        <f t="shared" si="73"/>
        <v>-3.3658949666322</v>
      </c>
      <c r="AF66" s="32" t="str">
        <f t="shared" si="74"/>
        <v>75,4669735059805</v>
      </c>
      <c r="AG66" s="32" t="str">
        <f t="shared" si="55"/>
        <v>1+0,0355779680212907i</v>
      </c>
      <c r="AH66" s="32">
        <f t="shared" si="75"/>
        <v>1.0006326957523</v>
      </c>
      <c r="AI66" s="32">
        <f t="shared" si="76"/>
        <v>0.0355629679783076</v>
      </c>
      <c r="AJ66" s="32" t="str">
        <f t="shared" si="56"/>
        <v>1+0,0000379498325560434i</v>
      </c>
      <c r="AK66" s="32">
        <f t="shared" si="77"/>
        <v>1.00000000072009</v>
      </c>
      <c r="AL66" s="32">
        <f t="shared" si="78"/>
        <v>3.79498325378251e-5</v>
      </c>
      <c r="AM66" s="32" t="str">
        <f t="shared" si="57"/>
        <v>1-0,000424292026650238i</v>
      </c>
      <c r="AN66" s="32">
        <f t="shared" si="79"/>
        <v>1.00000009001186</v>
      </c>
      <c r="AO66" s="32">
        <f t="shared" si="80"/>
        <v>-0.000424292001189364</v>
      </c>
      <c r="AP66" s="30" t="str">
        <f t="shared" si="81"/>
        <v>75,3705340026468-2,71068652461972i</v>
      </c>
      <c r="AQ66" s="32">
        <f t="shared" si="82"/>
        <v>37.5496456721221</v>
      </c>
      <c r="AR66" s="31">
        <f t="shared" si="83"/>
        <v>-2.05974374782758</v>
      </c>
      <c r="AS66" t="str">
        <f t="shared" si="58"/>
        <v>-0,000338461538461538</v>
      </c>
      <c r="AT66" t="str">
        <f t="shared" si="59"/>
        <v>0,000033216349941328i</v>
      </c>
      <c r="AU66">
        <f t="shared" si="84"/>
        <v>3.3216349941328e-5</v>
      </c>
      <c r="AV66">
        <f t="shared" si="85"/>
        <v>1.5707963267949</v>
      </c>
      <c r="AW66" t="str">
        <f t="shared" si="60"/>
        <v>1+0,00539089062905062i</v>
      </c>
      <c r="AX66">
        <f t="shared" si="86"/>
        <v>1.00001453074532</v>
      </c>
      <c r="AY66">
        <f t="shared" si="87"/>
        <v>0.00539083840714263</v>
      </c>
      <c r="AZ66" t="str">
        <f t="shared" si="61"/>
        <v>1+0,0470577923694938i</v>
      </c>
      <c r="BA66">
        <f t="shared" si="88"/>
        <v>1.00110660562334</v>
      </c>
      <c r="BB66">
        <f t="shared" si="89"/>
        <v>0.0470231029612702</v>
      </c>
      <c r="BC66" s="30" t="str">
        <f t="shared" si="90"/>
        <v>-0,42455699846587+10,1918953364751i</v>
      </c>
      <c r="BD66" s="32">
        <f t="shared" si="91"/>
        <v>20.1726286671972</v>
      </c>
      <c r="BE66" s="31">
        <f t="shared" si="92"/>
        <v>92.3853530505236</v>
      </c>
      <c r="BF66" s="30" t="str">
        <f t="shared" si="93"/>
        <v>2,61446799814127+152,755690532946i</v>
      </c>
      <c r="BG66" s="68">
        <f t="shared" si="94"/>
        <v>43.6812199715125</v>
      </c>
      <c r="BH66" s="31">
        <f t="shared" si="95"/>
        <v>89.0194580838914</v>
      </c>
      <c r="BI66" s="30" t="str">
        <f t="shared" si="103"/>
        <v>-4,3720543400159+769,319434943888i</v>
      </c>
      <c r="BJ66" s="68">
        <f t="shared" si="97"/>
        <v>57.7222743393193</v>
      </c>
      <c r="BK66" s="31">
        <f t="shared" si="104"/>
        <v>90.325609302696</v>
      </c>
      <c r="BL66" s="32">
        <f t="shared" si="99"/>
        <v>43.6812199715125</v>
      </c>
      <c r="BM66" s="31">
        <f t="shared" si="100"/>
        <v>89.0194580838914</v>
      </c>
      <c r="BO66">
        <f t="shared" si="101"/>
        <v>0</v>
      </c>
      <c r="BP66">
        <f t="shared" si="102"/>
        <v>0</v>
      </c>
    </row>
    <row r="67" spans="1:68">
      <c r="A67" t="s">
        <v>342</v>
      </c>
      <c r="B67">
        <f>(Fsw*Gcomp)/((R_cs*Acs*(VIN_var/Lm))+((R_sl+Rsl_int)*Isl))</f>
        <v>33.7498565631096</v>
      </c>
      <c r="C67" t="s">
        <v>244</v>
      </c>
      <c r="E67" t="s">
        <v>511</v>
      </c>
      <c r="N67" s="7">
        <v>49</v>
      </c>
      <c r="O67" s="18">
        <f t="shared" si="62"/>
        <v>30.9029543251359</v>
      </c>
      <c r="P67" s="86" t="str">
        <f t="shared" si="50"/>
        <v>15</v>
      </c>
      <c r="Q67" s="4" t="str">
        <f t="shared" si="51"/>
        <v>1+0,0566326216645396i</v>
      </c>
      <c r="R67" s="4">
        <f t="shared" si="63"/>
        <v>1.00160234316649</v>
      </c>
      <c r="S67" s="4">
        <f t="shared" si="64"/>
        <v>0.0565721928439553</v>
      </c>
      <c r="T67" s="4" t="str">
        <f t="shared" si="52"/>
        <v>1+0,0000388337977128272i</v>
      </c>
      <c r="U67" s="4">
        <f t="shared" si="65"/>
        <v>1.00000000075403</v>
      </c>
      <c r="V67" s="4">
        <f t="shared" si="66"/>
        <v>3.88337976933059e-5</v>
      </c>
      <c r="W67" t="str">
        <f t="shared" si="53"/>
        <v>1-0,00339795729987238i</v>
      </c>
      <c r="X67" s="4">
        <f t="shared" si="67"/>
        <v>1.00000577304024</v>
      </c>
      <c r="Y67" s="4">
        <f t="shared" si="68"/>
        <v>-0.00339794422222907</v>
      </c>
      <c r="Z67" t="str">
        <f t="shared" si="54"/>
        <v>0,999999993208942+0,000180299775095269i</v>
      </c>
      <c r="AA67" s="4">
        <f t="shared" si="69"/>
        <v>1.00000000946295</v>
      </c>
      <c r="AB67" s="4">
        <f t="shared" si="70"/>
        <v>0.000180299774365966</v>
      </c>
      <c r="AC67" s="67" t="str">
        <f t="shared" si="71"/>
        <v>14,9490404393046-0,899694699615751i</v>
      </c>
      <c r="AD67" s="68">
        <f t="shared" si="72"/>
        <v>23.5079686120378</v>
      </c>
      <c r="AE67" s="31">
        <f t="shared" si="73"/>
        <v>-3.44414115412145</v>
      </c>
      <c r="AF67" s="32" t="str">
        <f t="shared" si="74"/>
        <v>75,4669735059805</v>
      </c>
      <c r="AG67" s="32" t="str">
        <f t="shared" si="55"/>
        <v>1+0,0364066853557755i</v>
      </c>
      <c r="AH67" s="32">
        <f t="shared" si="75"/>
        <v>1.00066250391358</v>
      </c>
      <c r="AI67" s="32">
        <f t="shared" si="76"/>
        <v>0.0363906130948069</v>
      </c>
      <c r="AJ67" s="32" t="str">
        <f t="shared" si="56"/>
        <v>1+0,0000388337977128272i</v>
      </c>
      <c r="AK67" s="32">
        <f t="shared" si="77"/>
        <v>1.00000000075403</v>
      </c>
      <c r="AL67" s="32">
        <f t="shared" si="78"/>
        <v>3.88337976933059e-5</v>
      </c>
      <c r="AM67" s="32" t="str">
        <f t="shared" si="57"/>
        <v>1-0,000434175057551787i</v>
      </c>
      <c r="AN67" s="32">
        <f t="shared" si="79"/>
        <v>1.00000009425399</v>
      </c>
      <c r="AO67" s="32">
        <f t="shared" si="80"/>
        <v>-0.000434175030269969</v>
      </c>
      <c r="AP67" s="30" t="str">
        <f t="shared" si="81"/>
        <v>75,3659949651325-2,77366127360262i</v>
      </c>
      <c r="AQ67" s="32">
        <f t="shared" si="82"/>
        <v>37.5493869664262</v>
      </c>
      <c r="AR67" s="31">
        <f t="shared" si="83"/>
        <v>-2.10767992832008</v>
      </c>
      <c r="AS67" t="str">
        <f t="shared" si="58"/>
        <v>-0,000338461538461538</v>
      </c>
      <c r="AT67" t="str">
        <f t="shared" si="59"/>
        <v>0,0000339900581241062i</v>
      </c>
      <c r="AU67">
        <f t="shared" si="84"/>
        <v>3.39900581241062e-5</v>
      </c>
      <c r="AV67">
        <f t="shared" si="85"/>
        <v>1.5707963267949</v>
      </c>
      <c r="AW67" t="str">
        <f t="shared" si="60"/>
        <v>1+0,00551646060285948i</v>
      </c>
      <c r="AX67">
        <f t="shared" si="86"/>
        <v>1.00001521555303</v>
      </c>
      <c r="AY67">
        <f t="shared" si="87"/>
        <v>0.00551640464612289</v>
      </c>
      <c r="AZ67" t="str">
        <f t="shared" si="61"/>
        <v>1+0,0481539091639057i</v>
      </c>
      <c r="BA67">
        <f t="shared" si="88"/>
        <v>1.00115872815841</v>
      </c>
      <c r="BB67">
        <f t="shared" si="89"/>
        <v>0.0481167411164019</v>
      </c>
      <c r="BC67" s="30" t="str">
        <f t="shared" si="90"/>
        <v>-0,424556416995097+9,9600048813837i</v>
      </c>
      <c r="BD67" s="32">
        <f t="shared" si="91"/>
        <v>19.973074937496</v>
      </c>
      <c r="BE67" s="31">
        <f t="shared" si="92"/>
        <v>92.4408194855842</v>
      </c>
      <c r="BF67" s="30" t="str">
        <f t="shared" si="93"/>
        <v>2,61425255350195+149,274486905535i</v>
      </c>
      <c r="BG67" s="68">
        <f t="shared" si="94"/>
        <v>43.4810435495338</v>
      </c>
      <c r="BH67" s="31">
        <f t="shared" si="95"/>
        <v>88.9966783314628</v>
      </c>
      <c r="BI67" s="30" t="str">
        <f t="shared" si="103"/>
        <v>-4,37143696128015+751,823253435338i</v>
      </c>
      <c r="BJ67" s="68">
        <f t="shared" si="97"/>
        <v>57.5224619039222</v>
      </c>
      <c r="BK67" s="31">
        <f t="shared" si="104"/>
        <v>90.3331395572642</v>
      </c>
      <c r="BL67" s="32">
        <f t="shared" si="99"/>
        <v>43.4810435495338</v>
      </c>
      <c r="BM67" s="31">
        <f t="shared" si="100"/>
        <v>88.9966783314628</v>
      </c>
      <c r="BO67">
        <f t="shared" si="101"/>
        <v>0</v>
      </c>
      <c r="BP67">
        <f t="shared" si="102"/>
        <v>0</v>
      </c>
    </row>
    <row r="68" spans="1:68">
      <c r="A68" t="s">
        <v>344</v>
      </c>
      <c r="B68">
        <f>(B67*2*VOUT/DC_VIN_var_DCM)*(((VOUT/VIN_var)-1)/((2*VOUT/VIN_var)-1))</f>
        <v>75.4669735059805</v>
      </c>
      <c r="C68" t="s">
        <v>244</v>
      </c>
      <c r="N68" s="7">
        <v>50</v>
      </c>
      <c r="O68" s="18">
        <f t="shared" si="62"/>
        <v>31.6227766016838</v>
      </c>
      <c r="P68" s="86" t="str">
        <f t="shared" si="50"/>
        <v>15</v>
      </c>
      <c r="Q68" s="4" t="str">
        <f t="shared" si="51"/>
        <v>1+0,0579517648838106i</v>
      </c>
      <c r="R68" s="4">
        <f t="shared" si="63"/>
        <v>1.00167779602682</v>
      </c>
      <c r="S68" s="4">
        <f t="shared" si="64"/>
        <v>0.0578870200921317</v>
      </c>
      <c r="T68" s="4" t="str">
        <f t="shared" si="52"/>
        <v>1+0,0000397383530631844i</v>
      </c>
      <c r="U68" s="4">
        <f t="shared" si="65"/>
        <v>1.00000000078957</v>
      </c>
      <c r="V68" s="4">
        <f t="shared" si="66"/>
        <v>3.9738353042267e-5</v>
      </c>
      <c r="W68" t="str">
        <f t="shared" si="53"/>
        <v>1-0,00347710589302864i</v>
      </c>
      <c r="X68" s="4">
        <f t="shared" si="67"/>
        <v>1.00000604511442</v>
      </c>
      <c r="Y68" s="4">
        <f t="shared" si="68"/>
        <v>-0.00347709188008595</v>
      </c>
      <c r="Z68" t="str">
        <f t="shared" si="54"/>
        <v>0,999999992888889+0,000184499496364784i</v>
      </c>
      <c r="AA68" s="4">
        <f t="shared" si="69"/>
        <v>1.00000000990892</v>
      </c>
      <c r="AB68" s="4">
        <f t="shared" si="70"/>
        <v>0.000184499495583322</v>
      </c>
      <c r="AC68" s="67" t="str">
        <f t="shared" si="71"/>
        <v>14,9466468279238-0,920512567257225i</v>
      </c>
      <c r="AD68" s="68">
        <f t="shared" si="72"/>
        <v>23.5073166695481</v>
      </c>
      <c r="AE68" s="31">
        <f t="shared" si="73"/>
        <v>-3.52419883208136</v>
      </c>
      <c r="AF68" s="32" t="str">
        <f t="shared" si="74"/>
        <v>75,4669735059805</v>
      </c>
      <c r="AG68" s="32" t="str">
        <f t="shared" si="55"/>
        <v>1+0,0372547059967354i</v>
      </c>
      <c r="AH68" s="32">
        <f t="shared" si="75"/>
        <v>1.00069371593855</v>
      </c>
      <c r="AI68" s="32">
        <f t="shared" si="76"/>
        <v>0.0372374849035597</v>
      </c>
      <c r="AJ68" s="32" t="str">
        <f t="shared" si="56"/>
        <v>1+0,0000397383530631844i</v>
      </c>
      <c r="AK68" s="32">
        <f t="shared" si="77"/>
        <v>1.00000000078957</v>
      </c>
      <c r="AL68" s="32">
        <f t="shared" si="78"/>
        <v>3.9738353042267e-5</v>
      </c>
      <c r="AM68" s="32" t="str">
        <f t="shared" si="57"/>
        <v>1-0,000444288293815837i</v>
      </c>
      <c r="AN68" s="32">
        <f t="shared" si="79"/>
        <v>1.00000009869604</v>
      </c>
      <c r="AO68" s="32">
        <f t="shared" si="80"/>
        <v>-0.000444288264582842</v>
      </c>
      <c r="AP68" s="30" t="str">
        <f t="shared" si="81"/>
        <v>75,3612425890031-2,83809109586259i</v>
      </c>
      <c r="AQ68" s="32">
        <f t="shared" si="82"/>
        <v>37.5491160848276</v>
      </c>
      <c r="AR68" s="31">
        <f t="shared" si="83"/>
        <v>-2.15672972718975</v>
      </c>
      <c r="AS68" t="str">
        <f t="shared" si="58"/>
        <v>-0,000338461538461538</v>
      </c>
      <c r="AT68" t="str">
        <f t="shared" si="59"/>
        <v>0,0000347817882856134i</v>
      </c>
      <c r="AU68">
        <f t="shared" si="84"/>
        <v>3.47817882856134e-5</v>
      </c>
      <c r="AV68">
        <f t="shared" si="85"/>
        <v>1.5707963267949</v>
      </c>
      <c r="AW68" t="str">
        <f t="shared" si="60"/>
        <v>1+0,00564495547709897i</v>
      </c>
      <c r="AX68">
        <f t="shared" si="86"/>
        <v>1.00001593263424</v>
      </c>
      <c r="AY68">
        <f t="shared" si="87"/>
        <v>0.00564489551842705</v>
      </c>
      <c r="AZ68" t="str">
        <f t="shared" si="61"/>
        <v>1+0,0492755577983486i</v>
      </c>
      <c r="BA68">
        <f t="shared" si="88"/>
        <v>1.00121330424457</v>
      </c>
      <c r="BB68">
        <f t="shared" si="89"/>
        <v>0.0492357341240689</v>
      </c>
      <c r="BC68" s="30" t="str">
        <f t="shared" si="90"/>
        <v>-0,424555808122156+9,73339535241421i</v>
      </c>
      <c r="BD68" s="32">
        <f t="shared" si="91"/>
        <v>19.7735421894108</v>
      </c>
      <c r="BE68" s="31">
        <f t="shared" si="92"/>
        <v>92.4975710775392</v>
      </c>
      <c r="BF68" s="30" t="str">
        <f t="shared" si="93"/>
        <v>2,6140270212347+145,872431725969i</v>
      </c>
      <c r="BG68" s="68">
        <f t="shared" si="94"/>
        <v>43.2808588589589</v>
      </c>
      <c r="BH68" s="31">
        <f t="shared" si="95"/>
        <v>88.9733722454579</v>
      </c>
      <c r="BI68" s="30" t="str">
        <f t="shared" si="103"/>
        <v>-4,37079056626697+734,725696426691i</v>
      </c>
      <c r="BJ68" s="68">
        <f t="shared" si="97"/>
        <v>57.3226582742384</v>
      </c>
      <c r="BK68" s="31">
        <f t="shared" si="104"/>
        <v>90.3408413503495</v>
      </c>
      <c r="BL68" s="32">
        <f t="shared" si="99"/>
        <v>43.2808588589589</v>
      </c>
      <c r="BM68" s="31">
        <f t="shared" si="100"/>
        <v>88.9733722454579</v>
      </c>
      <c r="BO68">
        <f t="shared" si="101"/>
        <v>0</v>
      </c>
      <c r="BP68">
        <f t="shared" si="102"/>
        <v>0</v>
      </c>
    </row>
    <row r="69" spans="1:68">
      <c r="A69" t="s">
        <v>512</v>
      </c>
      <c r="B69">
        <f>(IOUT_VAR*((2*VOUT)-VIN_var))/(Cout*VOUT*(VOUT-VIN_var))</f>
        <v>5333.33333333333</v>
      </c>
      <c r="C69" t="s">
        <v>304</v>
      </c>
      <c r="N69" s="7">
        <v>51</v>
      </c>
      <c r="O69" s="18">
        <f t="shared" si="62"/>
        <v>32.3593656929628</v>
      </c>
      <c r="P69" s="86" t="str">
        <f t="shared" si="50"/>
        <v>15</v>
      </c>
      <c r="Q69" s="4" t="str">
        <f t="shared" si="51"/>
        <v>1+0,0593016348959052i</v>
      </c>
      <c r="R69" s="4">
        <f t="shared" si="63"/>
        <v>1.00175679877969</v>
      </c>
      <c r="S69" s="4">
        <f t="shared" si="64"/>
        <v>0.0592322661709908</v>
      </c>
      <c r="T69" s="4" t="str">
        <f t="shared" si="52"/>
        <v>1+0,000040663978214335i</v>
      </c>
      <c r="U69" s="4">
        <f t="shared" si="65"/>
        <v>1.00000000082678</v>
      </c>
      <c r="V69" s="4">
        <f t="shared" si="66"/>
        <v>4.06639781919216e-5</v>
      </c>
      <c r="W69" t="str">
        <f t="shared" si="53"/>
        <v>1-0,00355809809375431i</v>
      </c>
      <c r="X69" s="4">
        <f t="shared" si="67"/>
        <v>1.00000633001099</v>
      </c>
      <c r="Y69" s="4">
        <f t="shared" si="68"/>
        <v>-0.00355808307862082</v>
      </c>
      <c r="Z69" t="str">
        <f t="shared" si="54"/>
        <v>0,999999992553752+0,000188797041709412i</v>
      </c>
      <c r="AA69" s="4">
        <f t="shared" si="69"/>
        <v>1.00000001037591</v>
      </c>
      <c r="AB69" s="4">
        <f t="shared" si="70"/>
        <v>0.000188797040872061</v>
      </c>
      <c r="AC69" s="67" t="str">
        <f t="shared" si="71"/>
        <v>14,9441411819578-0,941805470427265i</v>
      </c>
      <c r="AD69" s="68">
        <f t="shared" si="72"/>
        <v>23.506634107592</v>
      </c>
      <c r="AE69" s="31">
        <f t="shared" si="73"/>
        <v>-3.60610940545309</v>
      </c>
      <c r="AF69" s="32" t="str">
        <f t="shared" si="74"/>
        <v>75,4669735059805</v>
      </c>
      <c r="AG69" s="32" t="str">
        <f t="shared" si="55"/>
        <v>1+0,0381224795759391i</v>
      </c>
      <c r="AH69" s="32">
        <f t="shared" si="75"/>
        <v>1.00072639789756</v>
      </c>
      <c r="AI69" s="32">
        <f t="shared" si="76"/>
        <v>0.0381040275654782</v>
      </c>
      <c r="AJ69" s="32" t="str">
        <f t="shared" si="56"/>
        <v>1+0,000040663978214335i</v>
      </c>
      <c r="AK69" s="32">
        <f t="shared" si="77"/>
        <v>1.00000000082678</v>
      </c>
      <c r="AL69" s="32">
        <f t="shared" si="78"/>
        <v>4.06639781919216e-5</v>
      </c>
      <c r="AM69" s="32" t="str">
        <f t="shared" si="57"/>
        <v>1-0,000454637097614118i</v>
      </c>
      <c r="AN69" s="32">
        <f t="shared" si="79"/>
        <v>1.00000010334744</v>
      </c>
      <c r="AO69" s="32">
        <f t="shared" si="80"/>
        <v>-0.0004546370662904</v>
      </c>
      <c r="AP69" s="30" t="str">
        <f t="shared" si="81"/>
        <v>75,3562668757227-2,90400904332269i</v>
      </c>
      <c r="AQ69" s="32">
        <f t="shared" si="82"/>
        <v>37.5488324550855</v>
      </c>
      <c r="AR69" s="31">
        <f t="shared" si="83"/>
        <v>-2.20691887273209</v>
      </c>
      <c r="AS69" t="str">
        <f t="shared" si="58"/>
        <v>-0,000338461538461538</v>
      </c>
      <c r="AT69" t="str">
        <f t="shared" si="59"/>
        <v>0,000035591960211661i</v>
      </c>
      <c r="AU69">
        <f t="shared" si="84"/>
        <v>3.5591960211661e-5</v>
      </c>
      <c r="AV69">
        <f t="shared" si="85"/>
        <v>1.5707963267949</v>
      </c>
      <c r="AW69" t="str">
        <f t="shared" si="60"/>
        <v>1+0,00577644338145223i</v>
      </c>
      <c r="AX69">
        <f t="shared" si="86"/>
        <v>1.0000166835099</v>
      </c>
      <c r="AY69">
        <f t="shared" si="87"/>
        <v>0.00577637913463564</v>
      </c>
      <c r="AZ69" t="str">
        <f t="shared" si="61"/>
        <v>1+0,0504233329857754i</v>
      </c>
      <c r="BA69">
        <f t="shared" si="88"/>
        <v>1.00127044923407</v>
      </c>
      <c r="BB69">
        <f t="shared" si="89"/>
        <v>0.0503806640736712</v>
      </c>
      <c r="BC69" s="30" t="str">
        <f t="shared" si="90"/>
        <v>-0,424555170555793+9,51194659817328i</v>
      </c>
      <c r="BD69" s="32">
        <f t="shared" si="91"/>
        <v>19.5740314069191</v>
      </c>
      <c r="BE69" s="31">
        <f t="shared" si="92"/>
        <v>92.5556372752057</v>
      </c>
      <c r="BF69" s="30" t="str">
        <f t="shared" si="93"/>
        <v>2,61379093225567+142,547721260472i</v>
      </c>
      <c r="BG69" s="68">
        <f t="shared" si="94"/>
        <v>43.0806655145111</v>
      </c>
      <c r="BH69" s="31">
        <f t="shared" si="95"/>
        <v>88.9495278697526</v>
      </c>
      <c r="BI69" s="30" t="str">
        <f t="shared" si="103"/>
        <v>-4,3701137951726+718,017698414252i</v>
      </c>
      <c r="BJ69" s="68">
        <f t="shared" si="97"/>
        <v>57.1228638620046</v>
      </c>
      <c r="BK69" s="31">
        <f t="shared" si="104"/>
        <v>90.3487184024736</v>
      </c>
      <c r="BL69" s="32">
        <f t="shared" si="99"/>
        <v>43.0806655145111</v>
      </c>
      <c r="BM69" s="31">
        <f t="shared" si="100"/>
        <v>88.9495278697526</v>
      </c>
      <c r="BO69">
        <f t="shared" si="101"/>
        <v>0</v>
      </c>
      <c r="BP69">
        <f t="shared" si="102"/>
        <v>0</v>
      </c>
    </row>
    <row r="70" spans="1:68">
      <c r="B70">
        <f>B69/(2*PI())</f>
        <v>848.826363156775</v>
      </c>
      <c r="C70" t="s">
        <v>111</v>
      </c>
      <c r="N70" s="7">
        <v>52</v>
      </c>
      <c r="O70" s="18">
        <f t="shared" si="62"/>
        <v>33.1131121482591</v>
      </c>
      <c r="P70" s="86" t="str">
        <f t="shared" si="50"/>
        <v>15</v>
      </c>
      <c r="Q70" s="4" t="str">
        <f t="shared" si="51"/>
        <v>1+0,0606829474197718i</v>
      </c>
      <c r="R70" s="4">
        <f t="shared" si="63"/>
        <v>1.00183951814028</v>
      </c>
      <c r="S70" s="4">
        <f t="shared" si="64"/>
        <v>0.0606086248610028</v>
      </c>
      <c r="T70" s="4" t="str">
        <f t="shared" si="52"/>
        <v>1+0,0000416111639449864i</v>
      </c>
      <c r="U70" s="4">
        <f t="shared" si="65"/>
        <v>1.00000000086574</v>
      </c>
      <c r="V70" s="4">
        <f t="shared" si="66"/>
        <v>4.161116392097e-5</v>
      </c>
      <c r="W70" t="str">
        <f t="shared" si="53"/>
        <v>1-0,00364097684518631i</v>
      </c>
      <c r="X70" s="4">
        <f t="shared" si="67"/>
        <v>1.00000662833423</v>
      </c>
      <c r="Y70" s="4">
        <f t="shared" si="68"/>
        <v>-0.00364096075618667</v>
      </c>
      <c r="Z70" t="str">
        <f t="shared" si="54"/>
        <v>0,999999992202822+0,000193194689744579i</v>
      </c>
      <c r="AA70" s="4">
        <f t="shared" si="69"/>
        <v>1.00000001086492</v>
      </c>
      <c r="AB70" s="4">
        <f t="shared" si="70"/>
        <v>0.000193194688847341</v>
      </c>
      <c r="AC70" s="67" t="str">
        <f t="shared" si="71"/>
        <v>14,9415182955407-0,963583773446543i</v>
      </c>
      <c r="AD70" s="68">
        <f t="shared" si="72"/>
        <v>23.5059194932736</v>
      </c>
      <c r="AE70" s="31">
        <f t="shared" si="73"/>
        <v>-3.68991518755138</v>
      </c>
      <c r="AF70" s="32" t="str">
        <f t="shared" si="74"/>
        <v>75,4669735059805</v>
      </c>
      <c r="AG70" s="32" t="str">
        <f t="shared" si="55"/>
        <v>1+0,0390104661984248i</v>
      </c>
      <c r="AH70" s="32">
        <f t="shared" si="75"/>
        <v>1.0007606189659</v>
      </c>
      <c r="AI70" s="32">
        <f t="shared" si="76"/>
        <v>0.0389906953245122</v>
      </c>
      <c r="AJ70" s="32" t="str">
        <f t="shared" si="56"/>
        <v>1+0,0000416111639449864i</v>
      </c>
      <c r="AK70" s="32">
        <f t="shared" si="77"/>
        <v>1.00000000086574</v>
      </c>
      <c r="AL70" s="32">
        <f t="shared" si="78"/>
        <v>4.161116392097e-5</v>
      </c>
      <c r="AM70" s="32" t="str">
        <f t="shared" si="57"/>
        <v>1-0,000465226956019389i</v>
      </c>
      <c r="AN70" s="32">
        <f t="shared" si="79"/>
        <v>1.00000010821805</v>
      </c>
      <c r="AO70" s="32">
        <f t="shared" si="80"/>
        <v>-0.000465226922455421</v>
      </c>
      <c r="AP70" s="30" t="str">
        <f t="shared" si="81"/>
        <v>75,3510573609045-2,97144887795033i</v>
      </c>
      <c r="AQ70" s="32">
        <f t="shared" si="82"/>
        <v>37.5485354781431</v>
      </c>
      <c r="AR70" s="31">
        <f t="shared" si="83"/>
        <v>-2.25827367747428</v>
      </c>
      <c r="AS70" t="str">
        <f t="shared" si="58"/>
        <v>-0,000338461538461538</v>
      </c>
      <c r="AT70" t="str">
        <f t="shared" si="59"/>
        <v>0,0000364210034661282i</v>
      </c>
      <c r="AU70">
        <f t="shared" si="84"/>
        <v>3.64210034661282e-5</v>
      </c>
      <c r="AV70">
        <f t="shared" si="85"/>
        <v>1.5707963267949</v>
      </c>
      <c r="AW70" t="str">
        <f t="shared" si="60"/>
        <v>1+0,00591099403254663i</v>
      </c>
      <c r="AX70">
        <f t="shared" si="86"/>
        <v>1.00001746977263</v>
      </c>
      <c r="AY70">
        <f t="shared" si="87"/>
        <v>0.00591092519090731</v>
      </c>
      <c r="AZ70" t="str">
        <f t="shared" si="61"/>
        <v>1+0,0515978432917831i</v>
      </c>
      <c r="BA70">
        <f t="shared" si="88"/>
        <v>1.00133028388857</v>
      </c>
      <c r="BB70">
        <f t="shared" si="89"/>
        <v>0.0515521260086186</v>
      </c>
      <c r="BC70" s="30" t="str">
        <f t="shared" si="90"/>
        <v>-0,424554502943901+9,29554120357695i</v>
      </c>
      <c r="BD70" s="32">
        <f t="shared" si="91"/>
        <v>19.3745436199049</v>
      </c>
      <c r="BE70" s="31">
        <f t="shared" si="92"/>
        <v>92.6150481787639</v>
      </c>
      <c r="BF70" s="30" t="str">
        <f t="shared" si="93"/>
        <v>2,61354379598001+139,298592790178i</v>
      </c>
      <c r="BG70" s="68">
        <f t="shared" si="94"/>
        <v>42.8804631131786</v>
      </c>
      <c r="BH70" s="31">
        <f t="shared" si="95"/>
        <v>88.9251329912125</v>
      </c>
      <c r="BI70" s="30" t="str">
        <f t="shared" si="103"/>
        <v>-4,3694052248464+701,690400432779i</v>
      </c>
      <c r="BJ70" s="68">
        <f t="shared" si="97"/>
        <v>56.923079098048</v>
      </c>
      <c r="BK70" s="31">
        <f t="shared" si="104"/>
        <v>90.3567745012896</v>
      </c>
      <c r="BL70" s="32">
        <f t="shared" si="99"/>
        <v>42.8804631131786</v>
      </c>
      <c r="BM70" s="31">
        <f t="shared" si="100"/>
        <v>88.9251329912125</v>
      </c>
      <c r="BO70">
        <f t="shared" si="101"/>
        <v>0</v>
      </c>
      <c r="BP70">
        <f t="shared" si="102"/>
        <v>0</v>
      </c>
    </row>
    <row r="71" spans="1:68">
      <c r="A71" t="s">
        <v>346</v>
      </c>
      <c r="B71">
        <f>1/(Cout*Resr)</f>
        <v>5000000</v>
      </c>
      <c r="C71" t="s">
        <v>304</v>
      </c>
      <c r="N71" s="7">
        <v>53</v>
      </c>
      <c r="O71" s="18">
        <f t="shared" si="62"/>
        <v>33.8844156139203</v>
      </c>
      <c r="P71" s="86" t="str">
        <f t="shared" si="50"/>
        <v>15</v>
      </c>
      <c r="Q71" s="4" t="str">
        <f t="shared" si="51"/>
        <v>1+0,0620964348455937i</v>
      </c>
      <c r="R71" s="4">
        <f t="shared" si="63"/>
        <v>1.00192612862453</v>
      </c>
      <c r="S71" s="4">
        <f t="shared" si="64"/>
        <v>0.0620168050553908</v>
      </c>
      <c r="T71" s="4" t="str">
        <f t="shared" si="52"/>
        <v>1+0,00004258041246555i</v>
      </c>
      <c r="U71" s="4">
        <f t="shared" si="65"/>
        <v>1.00000000090655</v>
      </c>
      <c r="V71" s="4">
        <f t="shared" si="66"/>
        <v>4.25804124398159e-5</v>
      </c>
      <c r="W71" t="str">
        <f t="shared" si="53"/>
        <v>1-0,00372578609073563i</v>
      </c>
      <c r="X71" s="4">
        <f t="shared" si="67"/>
        <v>1.00000694071691</v>
      </c>
      <c r="Y71" s="4">
        <f t="shared" si="68"/>
        <v>-0.00372576885106837</v>
      </c>
      <c r="Z71" t="str">
        <f t="shared" si="54"/>
        <v>0,999999991835352+0,000197694772161482i</v>
      </c>
      <c r="AA71" s="4">
        <f t="shared" si="69"/>
        <v>1.00000001137696</v>
      </c>
      <c r="AB71" s="4">
        <f t="shared" si="70"/>
        <v>0.000197694771200074</v>
      </c>
      <c r="AC71" s="67" t="str">
        <f t="shared" si="71"/>
        <v>14,9387727245573-0,98585803261486i</v>
      </c>
      <c r="AD71" s="68">
        <f t="shared" si="72"/>
        <v>23.505171327141</v>
      </c>
      <c r="AE71" s="31">
        <f t="shared" si="73"/>
        <v>-3.77565941726584</v>
      </c>
      <c r="AF71" s="32" t="str">
        <f t="shared" si="74"/>
        <v>75,4669735059805</v>
      </c>
      <c r="AG71" s="32" t="str">
        <f t="shared" si="55"/>
        <v>1+0,0399191366864532i</v>
      </c>
      <c r="AH71" s="32">
        <f t="shared" si="75"/>
        <v>1.00079645156934</v>
      </c>
      <c r="AI71" s="32">
        <f t="shared" si="76"/>
        <v>0.03989795272382</v>
      </c>
      <c r="AJ71" s="32" t="str">
        <f t="shared" si="56"/>
        <v>1+0,00004258041246555i</v>
      </c>
      <c r="AK71" s="32">
        <f t="shared" si="77"/>
        <v>1.00000000090655</v>
      </c>
      <c r="AL71" s="32">
        <f t="shared" si="78"/>
        <v>4.25804124398159e-5</v>
      </c>
      <c r="AM71" s="32" t="str">
        <f t="shared" si="57"/>
        <v>1-0,000476063483914746i</v>
      </c>
      <c r="AN71" s="32">
        <f t="shared" si="79"/>
        <v>1.00000011331821</v>
      </c>
      <c r="AO71" s="32">
        <f t="shared" si="80"/>
        <v>-0.000476063447950306</v>
      </c>
      <c r="AP71" s="30" t="str">
        <f t="shared" si="81"/>
        <v>75,3456030928719-3,04044508405595i</v>
      </c>
      <c r="AQ71" s="32">
        <f t="shared" si="82"/>
        <v>37.5482245268792</v>
      </c>
      <c r="AR71" s="31">
        <f t="shared" si="83"/>
        <v>-2.31082105071264</v>
      </c>
      <c r="AS71" t="str">
        <f t="shared" si="58"/>
        <v>-0,000338461538461538</v>
      </c>
      <c r="AT71" t="str">
        <f t="shared" si="59"/>
        <v>0,000037269357618722i</v>
      </c>
      <c r="AU71">
        <f t="shared" si="84"/>
        <v>3.7269357618722e-5</v>
      </c>
      <c r="AV71">
        <f t="shared" si="85"/>
        <v>1.5707963267949</v>
      </c>
      <c r="AW71" t="str">
        <f t="shared" si="60"/>
        <v>1+0,0060486787709183i</v>
      </c>
      <c r="AX71">
        <f t="shared" si="86"/>
        <v>1.00001829309012</v>
      </c>
      <c r="AY71">
        <f t="shared" si="87"/>
        <v>0.00604860500584564</v>
      </c>
      <c r="AZ71" t="str">
        <f t="shared" si="61"/>
        <v>1+0,052799711457282i</v>
      </c>
      <c r="BA71">
        <f t="shared" si="88"/>
        <v>1.00139293463154</v>
      </c>
      <c r="BB71">
        <f t="shared" si="89"/>
        <v>0.0527507281852406</v>
      </c>
      <c r="BC71" s="30" t="str">
        <f t="shared" si="90"/>
        <v>-0,424553803870683+9,08406442759578i</v>
      </c>
      <c r="BD71" s="32">
        <f t="shared" si="91"/>
        <v>19.1750799062778</v>
      </c>
      <c r="BE71" s="31">
        <f t="shared" si="92"/>
        <v>92.6758345524794</v>
      </c>
      <c r="BF71" s="30" t="str">
        <f t="shared" si="93"/>
        <v>2,6132850993658+136,123323676912i</v>
      </c>
      <c r="BG71" s="68">
        <f t="shared" si="94"/>
        <v>42.6802512334189</v>
      </c>
      <c r="BH71" s="31">
        <f t="shared" si="95"/>
        <v>88.9001751352136</v>
      </c>
      <c r="BI71" s="30" t="str">
        <f t="shared" si="103"/>
        <v>-4,36866336587834+685,735145357604i</v>
      </c>
      <c r="BJ71" s="68">
        <f t="shared" si="97"/>
        <v>56.723304433157</v>
      </c>
      <c r="BK71" s="31">
        <f t="shared" si="104"/>
        <v>90.3650135017668</v>
      </c>
      <c r="BL71" s="32">
        <f t="shared" si="99"/>
        <v>42.6802512334189</v>
      </c>
      <c r="BM71" s="31">
        <f t="shared" si="100"/>
        <v>88.9001751352136</v>
      </c>
      <c r="BO71">
        <f t="shared" si="101"/>
        <v>0</v>
      </c>
      <c r="BP71">
        <f t="shared" si="102"/>
        <v>0</v>
      </c>
    </row>
    <row r="72" spans="1:68">
      <c r="B72">
        <f>B71/(2*PI())</f>
        <v>795774.715459477</v>
      </c>
      <c r="C72" t="s">
        <v>111</v>
      </c>
      <c r="N72" s="7">
        <v>54</v>
      </c>
      <c r="O72" s="18">
        <f t="shared" si="62"/>
        <v>34.6736850452532</v>
      </c>
      <c r="P72" s="86" t="str">
        <f t="shared" si="50"/>
        <v>15</v>
      </c>
      <c r="Q72" s="4" t="str">
        <f t="shared" si="51"/>
        <v>1+0,0635428466231145i</v>
      </c>
      <c r="R72" s="4">
        <f t="shared" si="63"/>
        <v>1.00201681291132</v>
      </c>
      <c r="S72" s="4">
        <f t="shared" si="64"/>
        <v>0.0634575310382728</v>
      </c>
      <c r="T72" s="4" t="str">
        <f t="shared" si="52"/>
        <v>1+0,0000435722376844214i</v>
      </c>
      <c r="U72" s="4">
        <f t="shared" si="65"/>
        <v>1.00000000094927</v>
      </c>
      <c r="V72" s="4">
        <f t="shared" si="66"/>
        <v>4.35722376568469e-5</v>
      </c>
      <c r="W72" t="str">
        <f t="shared" si="53"/>
        <v>1-0,00381257079738688i</v>
      </c>
      <c r="X72" s="4">
        <f t="shared" si="67"/>
        <v>1.00000726782163</v>
      </c>
      <c r="Y72" s="4">
        <f t="shared" si="68"/>
        <v>-0.00381255232475785</v>
      </c>
      <c r="Z72" t="str">
        <f t="shared" si="54"/>
        <v>0,999999991450564+0,000202299674963384i</v>
      </c>
      <c r="AA72" s="4">
        <f t="shared" si="69"/>
        <v>1.00000001191314</v>
      </c>
      <c r="AB72" s="4">
        <f t="shared" si="70"/>
        <v>0.000202299673933217</v>
      </c>
      <c r="AC72" s="67" t="str">
        <f t="shared" si="71"/>
        <v>14,9358987760912-1,00863899722895i</v>
      </c>
      <c r="AD72" s="68">
        <f t="shared" si="72"/>
        <v>23.504388040143</v>
      </c>
      <c r="AE72" s="31">
        <f t="shared" si="73"/>
        <v>-3.86338627638644</v>
      </c>
      <c r="AF72" s="32" t="str">
        <f t="shared" si="74"/>
        <v>75,4669735059805</v>
      </c>
      <c r="AG72" s="32" t="str">
        <f t="shared" si="55"/>
        <v>1+0,0408489728291451i</v>
      </c>
      <c r="AH72" s="32">
        <f t="shared" si="75"/>
        <v>1.00083397153634</v>
      </c>
      <c r="AI72" s="32">
        <f t="shared" si="76"/>
        <v>0.0408262748256521</v>
      </c>
      <c r="AJ72" s="32" t="str">
        <f t="shared" si="56"/>
        <v>1+0,0000435722376844214i</v>
      </c>
      <c r="AK72" s="32">
        <f t="shared" si="77"/>
        <v>1.00000000094927</v>
      </c>
      <c r="AL72" s="32">
        <f t="shared" si="78"/>
        <v>4.35722376568469e-5</v>
      </c>
      <c r="AM72" s="32" t="str">
        <f t="shared" si="57"/>
        <v>1-0,000487152426970721i</v>
      </c>
      <c r="AN72" s="32">
        <f t="shared" si="79"/>
        <v>1.00000011865874</v>
      </c>
      <c r="AO72" s="32">
        <f t="shared" si="80"/>
        <v>-0.00048715238843413</v>
      </c>
      <c r="AP72" s="30" t="str">
        <f t="shared" si="81"/>
        <v>75,3398926102573-3,11103288057976i</v>
      </c>
      <c r="AQ72" s="32">
        <f t="shared" si="82"/>
        <v>37.5478989448013</v>
      </c>
      <c r="AR72" s="31">
        <f t="shared" si="83"/>
        <v>-2.36458851126638</v>
      </c>
      <c r="AS72" t="str">
        <f t="shared" si="58"/>
        <v>-0,000338461538461538</v>
      </c>
      <c r="AT72" t="str">
        <f t="shared" si="59"/>
        <v>0,0000381374724780436i</v>
      </c>
      <c r="AU72">
        <f t="shared" si="84"/>
        <v>3.81374724780436e-5</v>
      </c>
      <c r="AV72">
        <f t="shared" si="85"/>
        <v>1.5707963267949</v>
      </c>
      <c r="AW72" t="str">
        <f t="shared" si="60"/>
        <v>1+0,00618957059883806i</v>
      </c>
      <c r="AX72">
        <f t="shared" si="86"/>
        <v>1.00001915520864</v>
      </c>
      <c r="AY72">
        <f t="shared" si="87"/>
        <v>0.00618949155822042</v>
      </c>
      <c r="AZ72" t="str">
        <f t="shared" si="61"/>
        <v>1+0,0540295747286825i</v>
      </c>
      <c r="BA72">
        <f t="shared" si="88"/>
        <v>1.00145853381224</v>
      </c>
      <c r="BB72">
        <f t="shared" si="89"/>
        <v>0.0539770923347145</v>
      </c>
      <c r="BC72" s="30" t="str">
        <f t="shared" si="90"/>
        <v>-0,424553071853625+8,87740414241725i</v>
      </c>
      <c r="BD72" s="32">
        <f t="shared" si="91"/>
        <v>18.9756413941872</v>
      </c>
      <c r="BE72" s="31">
        <f t="shared" si="92"/>
        <v>92.7380278375492</v>
      </c>
      <c r="BF72" s="30" t="str">
        <f t="shared" si="93"/>
        <v>2,61301430591955+133,020230450262i</v>
      </c>
      <c r="BG72" s="68">
        <f t="shared" si="94"/>
        <v>42.4800294343302</v>
      </c>
      <c r="BH72" s="31">
        <f t="shared" si="95"/>
        <v>88.8746415611628</v>
      </c>
      <c r="BI72" s="30" t="str">
        <f t="shared" si="103"/>
        <v>-4,36788665955192+670,143473313657i</v>
      </c>
      <c r="BJ72" s="68">
        <f t="shared" si="97"/>
        <v>56.5235403389885</v>
      </c>
      <c r="BK72" s="31">
        <f t="shared" si="104"/>
        <v>90.3734393262828</v>
      </c>
      <c r="BL72" s="32">
        <f t="shared" si="99"/>
        <v>42.4800294343302</v>
      </c>
      <c r="BM72" s="31">
        <f t="shared" si="100"/>
        <v>88.8746415611628</v>
      </c>
      <c r="BO72">
        <f t="shared" si="101"/>
        <v>0</v>
      </c>
      <c r="BP72">
        <f t="shared" si="102"/>
        <v>0</v>
      </c>
    </row>
    <row r="73" spans="1:68">
      <c r="A73" t="s">
        <v>347</v>
      </c>
      <c r="B73">
        <f>2*Fsw/(DC_VIN_var_DCM)</f>
        <v>447213.595499958</v>
      </c>
      <c r="C73" t="s">
        <v>304</v>
      </c>
      <c r="N73" s="7">
        <v>55</v>
      </c>
      <c r="O73" s="18">
        <f t="shared" si="62"/>
        <v>35.4813389233576</v>
      </c>
      <c r="P73" s="86" t="str">
        <f t="shared" si="50"/>
        <v>15</v>
      </c>
      <c r="Q73" s="4" t="str">
        <f t="shared" si="51"/>
        <v>1+0,0650229496590038i</v>
      </c>
      <c r="R73" s="4">
        <f t="shared" si="63"/>
        <v>1.00211176222134</v>
      </c>
      <c r="S73" s="4">
        <f t="shared" si="64"/>
        <v>0.0649315427641191</v>
      </c>
      <c r="T73" s="4" t="str">
        <f t="shared" si="52"/>
        <v>1+0,0000445871654804598i</v>
      </c>
      <c r="U73" s="4">
        <f t="shared" si="65"/>
        <v>1.00000000099401</v>
      </c>
      <c r="V73" s="4">
        <f t="shared" si="66"/>
        <v>4.45871654509131e-5</v>
      </c>
      <c r="W73" t="str">
        <f t="shared" si="53"/>
        <v>1-0,00390137697954024i</v>
      </c>
      <c r="X73" s="4">
        <f t="shared" si="67"/>
        <v>1.00000761034221</v>
      </c>
      <c r="Y73" s="4">
        <f t="shared" si="68"/>
        <v>-0.00390135718576975</v>
      </c>
      <c r="Z73" t="str">
        <f t="shared" si="54"/>
        <v>0,999999991047641+0,000207011839730706i</v>
      </c>
      <c r="AA73" s="4">
        <f t="shared" si="69"/>
        <v>1.00000001247459</v>
      </c>
      <c r="AB73" s="4">
        <f t="shared" si="70"/>
        <v>0.000207011838626862</v>
      </c>
      <c r="AC73" s="67" t="str">
        <f t="shared" si="71"/>
        <v>14,9328904974385-1,03193761038663i</v>
      </c>
      <c r="AD73" s="68">
        <f t="shared" si="72"/>
        <v>23.5035679904506</v>
      </c>
      <c r="AE73" s="31">
        <f t="shared" si="73"/>
        <v>-3.95314090703666</v>
      </c>
      <c r="AF73" s="32" t="str">
        <f t="shared" si="74"/>
        <v>75,4669735059805</v>
      </c>
      <c r="AG73" s="32" t="str">
        <f t="shared" si="55"/>
        <v>1+0,0418004676379311i</v>
      </c>
      <c r="AH73" s="32">
        <f t="shared" si="75"/>
        <v>1.00087325825738</v>
      </c>
      <c r="AI73" s="32">
        <f t="shared" si="76"/>
        <v>0.0417761474349355</v>
      </c>
      <c r="AJ73" s="32" t="str">
        <f t="shared" si="56"/>
        <v>1+0,0000445871654804598i</v>
      </c>
      <c r="AK73" s="32">
        <f t="shared" si="77"/>
        <v>1.00000000099401</v>
      </c>
      <c r="AL73" s="32">
        <f t="shared" si="78"/>
        <v>4.45871654509131e-5</v>
      </c>
      <c r="AM73" s="32" t="str">
        <f t="shared" si="57"/>
        <v>1-0,000498499664691701i</v>
      </c>
      <c r="AN73" s="32">
        <f t="shared" si="79"/>
        <v>1.00000012425095</v>
      </c>
      <c r="AO73" s="32">
        <f t="shared" si="80"/>
        <v>-0.000498499623399</v>
      </c>
      <c r="AP73" s="30" t="str">
        <f t="shared" si="81"/>
        <v>75,3339139185999-3,18324823334513i</v>
      </c>
      <c r="AQ73" s="32">
        <f t="shared" si="82"/>
        <v>37.5475580446792</v>
      </c>
      <c r="AR73" s="31">
        <f t="shared" si="83"/>
        <v>-2.41960420044692</v>
      </c>
      <c r="AS73" t="str">
        <f t="shared" si="58"/>
        <v>-0,000338461538461538</v>
      </c>
      <c r="AT73" t="str">
        <f t="shared" si="59"/>
        <v>0,0000390258083300821i</v>
      </c>
      <c r="AU73">
        <f t="shared" si="84"/>
        <v>3.90258083300821e-5</v>
      </c>
      <c r="AV73">
        <f t="shared" si="85"/>
        <v>1.5707963267949</v>
      </c>
      <c r="AW73" t="str">
        <f t="shared" si="60"/>
        <v>1+0,00633374421901798i</v>
      </c>
      <c r="AX73">
        <f t="shared" si="86"/>
        <v>1.00002005795676</v>
      </c>
      <c r="AY73">
        <f t="shared" si="87"/>
        <v>0.00633365952556203</v>
      </c>
      <c r="AZ73" t="str">
        <f t="shared" si="61"/>
        <v>1+0,0552880851957701i</v>
      </c>
      <c r="BA73">
        <f t="shared" si="88"/>
        <v>1.00152721998187</v>
      </c>
      <c r="BB73">
        <f t="shared" si="89"/>
        <v>0.0552318539278695</v>
      </c>
      <c r="BC73" s="30" t="str">
        <f t="shared" si="90"/>
        <v>-0,424552305340375+8,67545077399419i</v>
      </c>
      <c r="BD73" s="32">
        <f t="shared" si="91"/>
        <v>18.7762292643363</v>
      </c>
      <c r="BE73" s="31">
        <f t="shared" si="92"/>
        <v>92.8016601650625</v>
      </c>
      <c r="BF73" s="30" t="str">
        <f t="shared" si="93"/>
        <v>2,61273085465951+129,98766791543i</v>
      </c>
      <c r="BG73" s="68">
        <f t="shared" si="94"/>
        <v>42.2797972547869</v>
      </c>
      <c r="BH73" s="31">
        <f t="shared" si="95"/>
        <v>88.8485192580258</v>
      </c>
      <c r="BI73" s="30" t="str">
        <f t="shared" si="103"/>
        <v>-4,36707347466531+654,907117189067i</v>
      </c>
      <c r="BJ73" s="68">
        <f t="shared" si="97"/>
        <v>56.3237873090155</v>
      </c>
      <c r="BK73" s="31">
        <f t="shared" si="104"/>
        <v>90.3820559646155</v>
      </c>
      <c r="BL73" s="32">
        <f t="shared" si="99"/>
        <v>42.2797972547869</v>
      </c>
      <c r="BM73" s="31">
        <f t="shared" si="100"/>
        <v>88.8485192580258</v>
      </c>
      <c r="BO73">
        <f t="shared" si="101"/>
        <v>0</v>
      </c>
      <c r="BP73">
        <f t="shared" si="102"/>
        <v>0</v>
      </c>
    </row>
    <row r="74" spans="1:68">
      <c r="B74">
        <f>B73/(2*PI())</f>
        <v>71176.2543417177</v>
      </c>
      <c r="C74" t="s">
        <v>111</v>
      </c>
      <c r="N74" s="7">
        <v>56</v>
      </c>
      <c r="O74" s="18">
        <f t="shared" si="62"/>
        <v>36.3078054770102</v>
      </c>
      <c r="P74" s="86" t="str">
        <f t="shared" si="50"/>
        <v>15</v>
      </c>
      <c r="Q74" s="4" t="str">
        <f t="shared" si="51"/>
        <v>1+0,0665375287234831i</v>
      </c>
      <c r="R74" s="4">
        <f t="shared" si="63"/>
        <v>1.00221117671309</v>
      </c>
      <c r="S74" s="4">
        <f t="shared" si="64"/>
        <v>0.0664395961382105</v>
      </c>
      <c r="T74" s="4" t="str">
        <f t="shared" si="52"/>
        <v>1+0,000045625733981817i</v>
      </c>
      <c r="U74" s="4">
        <f t="shared" si="65"/>
        <v>1.00000000104085</v>
      </c>
      <c r="V74" s="4">
        <f t="shared" si="66"/>
        <v>4.56257339501572e-5</v>
      </c>
      <c r="W74" t="str">
        <f t="shared" si="53"/>
        <v>1-0,00399225172340899i</v>
      </c>
      <c r="X74" s="4">
        <f t="shared" si="67"/>
        <v>1.00000796900516</v>
      </c>
      <c r="Y74" s="4">
        <f t="shared" si="68"/>
        <v>-0.00399223051401092</v>
      </c>
      <c r="Z74" t="str">
        <f t="shared" si="54"/>
        <v>0,99999999062573+0,000211833764915578i</v>
      </c>
      <c r="AA74" s="4">
        <f t="shared" si="69"/>
        <v>1.0000000130625</v>
      </c>
      <c r="AB74" s="4">
        <f t="shared" si="70"/>
        <v>0.000211833763732788</v>
      </c>
      <c r="AC74" s="67" t="str">
        <f t="shared" si="71"/>
        <v>14,9297416646741-1,05576500955681i</v>
      </c>
      <c r="AD74" s="68">
        <f t="shared" si="72"/>
        <v>23.5027094601396</v>
      </c>
      <c r="AE74" s="31">
        <f t="shared" si="73"/>
        <v>-4.04496942919704</v>
      </c>
      <c r="AF74" s="32" t="str">
        <f t="shared" si="74"/>
        <v>75,4669735059805</v>
      </c>
      <c r="AG74" s="32" t="str">
        <f t="shared" si="55"/>
        <v>1+0,0427741256079535i</v>
      </c>
      <c r="AH74" s="32">
        <f t="shared" si="75"/>
        <v>1.00091439485179</v>
      </c>
      <c r="AI74" s="32">
        <f t="shared" si="76"/>
        <v>0.0427480673265518</v>
      </c>
      <c r="AJ74" s="32" t="str">
        <f t="shared" si="56"/>
        <v>1+0,000045625733981817i</v>
      </c>
      <c r="AK74" s="32">
        <f t="shared" si="77"/>
        <v>1.00000000104085</v>
      </c>
      <c r="AL74" s="32">
        <f t="shared" si="78"/>
        <v>4.56257339501572e-5</v>
      </c>
      <c r="AM74" s="32" t="str">
        <f t="shared" si="57"/>
        <v>1-0,000510111213533325i</v>
      </c>
      <c r="AN74" s="32">
        <f t="shared" si="79"/>
        <v>1.00000013010672</v>
      </c>
      <c r="AO74" s="32">
        <f t="shared" si="80"/>
        <v>-0.000510111169287399</v>
      </c>
      <c r="AP74" s="30" t="str">
        <f t="shared" si="81"/>
        <v>75,3276544658986-3,25712786725609i</v>
      </c>
      <c r="AQ74" s="32">
        <f t="shared" si="82"/>
        <v>37.5472011071156</v>
      </c>
      <c r="AR74" s="31">
        <f t="shared" si="83"/>
        <v>-2.47589689524263</v>
      </c>
      <c r="AS74" t="str">
        <f t="shared" si="58"/>
        <v>-0,000338461538461538</v>
      </c>
      <c r="AT74" t="str">
        <f t="shared" si="59"/>
        <v>0,0000399348361822649i</v>
      </c>
      <c r="AU74">
        <f t="shared" si="84"/>
        <v>3.99348361822649e-5</v>
      </c>
      <c r="AV74">
        <f t="shared" si="85"/>
        <v>1.5707963267949</v>
      </c>
      <c r="AW74" t="str">
        <f t="shared" si="60"/>
        <v>1+0,00648127607421986i</v>
      </c>
      <c r="AX74">
        <f t="shared" si="86"/>
        <v>1.00002100324921</v>
      </c>
      <c r="AY74">
        <f t="shared" si="87"/>
        <v>0.00648118532364972</v>
      </c>
      <c r="AZ74" t="str">
        <f t="shared" si="61"/>
        <v>1+0,0565759101374531i</v>
      </c>
      <c r="BA74">
        <f t="shared" si="88"/>
        <v>1.00159913818248</v>
      </c>
      <c r="BB74">
        <f t="shared" si="89"/>
        <v>0.0565156624427155</v>
      </c>
      <c r="BC74" s="30" t="str">
        <f t="shared" si="90"/>
        <v>-0,424551502705436+8,47809724394697i</v>
      </c>
      <c r="BD74" s="32">
        <f t="shared" si="91"/>
        <v>18.5768447524</v>
      </c>
      <c r="BE74" s="31">
        <f t="shared" si="92"/>
        <v>92.8667643690664</v>
      </c>
      <c r="BF74" s="30" t="str">
        <f t="shared" si="93"/>
        <v>2,61243415903789+127,024028281425i</v>
      </c>
      <c r="BG74" s="68">
        <f t="shared" si="94"/>
        <v>42.0795542125396</v>
      </c>
      <c r="BH74" s="31">
        <f t="shared" si="95"/>
        <v>88.8217949398693</v>
      </c>
      <c r="BI74" s="30" t="str">
        <f t="shared" si="103"/>
        <v>-4,36622210420637+640,017998250872i</v>
      </c>
      <c r="BJ74" s="68">
        <f t="shared" si="97"/>
        <v>56.1240458595156</v>
      </c>
      <c r="BK74" s="31">
        <f t="shared" si="104"/>
        <v>90.3908674738237</v>
      </c>
      <c r="BL74" s="32">
        <f t="shared" si="99"/>
        <v>42.0795542125396</v>
      </c>
      <c r="BM74" s="31">
        <f t="shared" si="100"/>
        <v>88.8217949398693</v>
      </c>
      <c r="BO74">
        <f t="shared" si="101"/>
        <v>0</v>
      </c>
      <c r="BP74">
        <f t="shared" si="102"/>
        <v>0</v>
      </c>
    </row>
    <row r="75" spans="1:68">
      <c r="N75" s="7">
        <v>57</v>
      </c>
      <c r="O75" s="18">
        <f t="shared" si="62"/>
        <v>37.1535229097173</v>
      </c>
      <c r="P75" s="86" t="str">
        <f t="shared" si="50"/>
        <v>15</v>
      </c>
      <c r="Q75" s="4" t="str">
        <f t="shared" si="51"/>
        <v>1+0,0680873868664196i</v>
      </c>
      <c r="R75" s="4">
        <f t="shared" si="63"/>
        <v>1.00231526589706</v>
      </c>
      <c r="S75" s="4">
        <f t="shared" si="64"/>
        <v>0.0679824632977351</v>
      </c>
      <c r="T75" s="4" t="str">
        <f t="shared" si="52"/>
        <v>1+0,0000466884938512592i</v>
      </c>
      <c r="U75" s="4">
        <f t="shared" si="65"/>
        <v>1.00000000108991</v>
      </c>
      <c r="V75" s="4">
        <f t="shared" si="66"/>
        <v>4.66884938173351e-5</v>
      </c>
      <c r="W75" t="str">
        <f t="shared" si="53"/>
        <v>1-0,00408524321198518i</v>
      </c>
      <c r="X75" s="4">
        <f t="shared" si="67"/>
        <v>1.00000834457123</v>
      </c>
      <c r="Y75" s="4">
        <f t="shared" si="68"/>
        <v>-0.00408522048571593</v>
      </c>
      <c r="Z75" t="str">
        <f t="shared" si="54"/>
        <v>0,999999990183934+0,00021676800716656i</v>
      </c>
      <c r="AA75" s="4">
        <f t="shared" si="69"/>
        <v>1.00000001367812</v>
      </c>
      <c r="AB75" s="4">
        <f t="shared" si="70"/>
        <v>0.000216768005899177</v>
      </c>
      <c r="AC75" s="67" t="str">
        <f t="shared" si="71"/>
        <v>14,9264457707561-1,080132526893i</v>
      </c>
      <c r="AD75" s="68">
        <f t="shared" si="72"/>
        <v>23.5018106517261</v>
      </c>
      <c r="AE75" s="31">
        <f t="shared" si="73"/>
        <v>-4.13891895829908</v>
      </c>
      <c r="AF75" s="32" t="str">
        <f t="shared" si="74"/>
        <v>75,4669735059805</v>
      </c>
      <c r="AG75" s="32" t="str">
        <f t="shared" si="55"/>
        <v>1+0,0437704629855555i</v>
      </c>
      <c r="AH75" s="32">
        <f t="shared" si="75"/>
        <v>1.00095746834217</v>
      </c>
      <c r="AI75" s="32">
        <f t="shared" si="76"/>
        <v>0.043742542476283</v>
      </c>
      <c r="AJ75" s="32" t="str">
        <f t="shared" si="56"/>
        <v>1+0,0000466884938512592i</v>
      </c>
      <c r="AK75" s="32">
        <f t="shared" si="77"/>
        <v>1.00000000108991</v>
      </c>
      <c r="AL75" s="32">
        <f t="shared" si="78"/>
        <v>4.66884938173351e-5</v>
      </c>
      <c r="AM75" s="32" t="str">
        <f t="shared" si="57"/>
        <v>1-0,000521993230092483i</v>
      </c>
      <c r="AN75" s="32">
        <f t="shared" si="79"/>
        <v>1.00000013623846</v>
      </c>
      <c r="AO75" s="32">
        <f t="shared" si="80"/>
        <v>-0.000521993182682119</v>
      </c>
      <c r="AP75" s="30" t="str">
        <f t="shared" si="81"/>
        <v>75,3211011170796-3,3327092784136i</v>
      </c>
      <c r="AQ75" s="32">
        <f t="shared" si="82"/>
        <v>37.5468273790516</v>
      </c>
      <c r="AR75" s="31">
        <f t="shared" si="83"/>
        <v>-2.53349602171748</v>
      </c>
      <c r="AS75" t="str">
        <f t="shared" si="58"/>
        <v>-0,000338461538461538</v>
      </c>
      <c r="AT75" t="str">
        <f t="shared" si="59"/>
        <v>0,0000408650380131916i</v>
      </c>
      <c r="AU75">
        <f t="shared" si="84"/>
        <v>4.08650380131916e-5</v>
      </c>
      <c r="AV75">
        <f t="shared" si="85"/>
        <v>1.5707963267949</v>
      </c>
      <c r="AW75" t="str">
        <f t="shared" si="60"/>
        <v>1+0,00663224438778609i</v>
      </c>
      <c r="AX75">
        <f t="shared" si="86"/>
        <v>1.00002199309096</v>
      </c>
      <c r="AY75">
        <f t="shared" si="87"/>
        <v>0.00663214714691373</v>
      </c>
      <c r="AZ75" t="str">
        <f t="shared" si="61"/>
        <v>1+0,0578937323755614i</v>
      </c>
      <c r="BA75">
        <f t="shared" si="88"/>
        <v>1.00167444024911</v>
      </c>
      <c r="BB75">
        <f t="shared" si="89"/>
        <v>0.0578291816345155</v>
      </c>
      <c r="BC75" s="30" t="str">
        <f t="shared" si="90"/>
        <v>-0,424550662246726+8,28523891278893i</v>
      </c>
      <c r="BD75" s="32">
        <f t="shared" si="91"/>
        <v>18.3774891515514</v>
      </c>
      <c r="BE75" s="31">
        <f t="shared" si="92"/>
        <v>92.9333739997253</v>
      </c>
      <c r="BF75" s="30" t="str">
        <f t="shared" si="93"/>
        <v>2,61212360581857+124,127740309109i</v>
      </c>
      <c r="BG75" s="68">
        <f t="shared" si="94"/>
        <v>41.8792998032775</v>
      </c>
      <c r="BH75" s="31">
        <f t="shared" si="95"/>
        <v>88.7944550414262</v>
      </c>
      <c r="BI75" s="30" t="str">
        <f t="shared" si="103"/>
        <v>-4,36533076188368+625,468221860564i</v>
      </c>
      <c r="BJ75" s="68">
        <f t="shared" si="97"/>
        <v>55.924316530603</v>
      </c>
      <c r="BK75" s="31">
        <f t="shared" si="104"/>
        <v>90.3998779780078</v>
      </c>
      <c r="BL75" s="32">
        <f t="shared" si="99"/>
        <v>41.8792998032775</v>
      </c>
      <c r="BM75" s="31">
        <f t="shared" si="100"/>
        <v>88.7944550414262</v>
      </c>
      <c r="BO75">
        <f t="shared" si="101"/>
        <v>0</v>
      </c>
      <c r="BP75">
        <f t="shared" si="102"/>
        <v>0</v>
      </c>
    </row>
    <row r="76" spans="1:68">
      <c r="N76" s="7">
        <v>58</v>
      </c>
      <c r="O76" s="18">
        <f t="shared" si="62"/>
        <v>38.0189396320561</v>
      </c>
      <c r="P76" s="86" t="str">
        <f t="shared" si="50"/>
        <v>15</v>
      </c>
      <c r="Q76" s="4" t="str">
        <f t="shared" si="51"/>
        <v>1+0,0696733458431159i</v>
      </c>
      <c r="R76" s="4">
        <f t="shared" si="63"/>
        <v>1.00242424906871</v>
      </c>
      <c r="S76" s="4">
        <f t="shared" si="64"/>
        <v>0.0695609328931436</v>
      </c>
      <c r="T76" s="4" t="str">
        <f t="shared" si="52"/>
        <v>1+0,0000477760085781366i</v>
      </c>
      <c r="U76" s="4">
        <f t="shared" si="65"/>
        <v>1.00000000114127</v>
      </c>
      <c r="V76" s="4">
        <f t="shared" si="66"/>
        <v>4.77760085417863e-5</v>
      </c>
      <c r="W76" t="str">
        <f t="shared" si="53"/>
        <v>1-0,00418040075058696i</v>
      </c>
      <c r="X76" s="4">
        <f t="shared" si="67"/>
        <v>1.00000873783704</v>
      </c>
      <c r="Y76" s="4">
        <f t="shared" si="68"/>
        <v>-0.00418037639896222</v>
      </c>
      <c r="Z76" t="str">
        <f t="shared" si="54"/>
        <v>0,999999989721317+0,000221817182684205i</v>
      </c>
      <c r="AA76" s="4">
        <f t="shared" si="69"/>
        <v>1.00000001432275</v>
      </c>
      <c r="AB76" s="4">
        <f t="shared" si="70"/>
        <v>0.00022181718132618</v>
      </c>
      <c r="AC76" s="67" t="str">
        <f t="shared" si="71"/>
        <v>14,922996013152-1,10505168926651i</v>
      </c>
      <c r="AD76" s="68">
        <f t="shared" si="72"/>
        <v>23.5008696845514</v>
      </c>
      <c r="AE76" s="31">
        <f t="shared" si="73"/>
        <v>-4.23503762286857</v>
      </c>
      <c r="AF76" s="32" t="str">
        <f t="shared" si="74"/>
        <v>75,4669735059805</v>
      </c>
      <c r="AG76" s="32" t="str">
        <f t="shared" si="55"/>
        <v>1+0,0447900080420031i</v>
      </c>
      <c r="AH76" s="32">
        <f t="shared" si="75"/>
        <v>1.00100256983706</v>
      </c>
      <c r="AI76" s="32">
        <f t="shared" si="76"/>
        <v>0.0447600922954012</v>
      </c>
      <c r="AJ76" s="32" t="str">
        <f t="shared" si="56"/>
        <v>1+0,0000477760085781366i</v>
      </c>
      <c r="AK76" s="32">
        <f t="shared" si="77"/>
        <v>1.00000000114127</v>
      </c>
      <c r="AL76" s="32">
        <f t="shared" si="78"/>
        <v>4.77760085417863e-5</v>
      </c>
      <c r="AM76" s="32" t="str">
        <f t="shared" si="57"/>
        <v>1-0,000534152014371632i</v>
      </c>
      <c r="AN76" s="32">
        <f t="shared" si="79"/>
        <v>1.00000014265918</v>
      </c>
      <c r="AO76" s="32">
        <f t="shared" si="80"/>
        <v>-0.000534151963570513</v>
      </c>
      <c r="AP76" s="30" t="str">
        <f t="shared" si="81"/>
        <v>75,314240127329-3,41003074612358i</v>
      </c>
      <c r="AQ76" s="32">
        <f t="shared" si="82"/>
        <v>37.5464360722035</v>
      </c>
      <c r="AR76" s="31">
        <f t="shared" si="83"/>
        <v>-2.59243166862231</v>
      </c>
      <c r="AS76" t="str">
        <f t="shared" si="58"/>
        <v>-0,000338461538461538</v>
      </c>
      <c r="AT76" t="str">
        <f t="shared" si="59"/>
        <v>0,0000418169070281856i</v>
      </c>
      <c r="AU76">
        <f t="shared" si="84"/>
        <v>4.18169070281856e-5</v>
      </c>
      <c r="AV76">
        <f t="shared" si="85"/>
        <v>1.5707963267949</v>
      </c>
      <c r="AW76" t="str">
        <f t="shared" si="60"/>
        <v>1+0,00678672920511487i</v>
      </c>
      <c r="AX76">
        <f t="shared" si="86"/>
        <v>1.00002302958147</v>
      </c>
      <c r="AY76">
        <f t="shared" si="87"/>
        <v>0.00678662500977247</v>
      </c>
      <c r="AZ76" t="str">
        <f t="shared" si="61"/>
        <v>1+0,0592422506368894i</v>
      </c>
      <c r="BA76">
        <f t="shared" si="88"/>
        <v>1.0017532851259</v>
      </c>
      <c r="BB76">
        <f t="shared" si="89"/>
        <v>0.0591730898082121</v>
      </c>
      <c r="BC76" s="30" t="str">
        <f t="shared" si="90"/>
        <v>-0,424549782181986+8,09677352444507i</v>
      </c>
      <c r="BD76" s="32">
        <f t="shared" si="91"/>
        <v>18.1781638151006</v>
      </c>
      <c r="BE76" s="31">
        <f t="shared" si="92"/>
        <v>93.0015233365612</v>
      </c>
      <c r="BF76" s="30" t="str">
        <f t="shared" si="93"/>
        <v>2,61179855391005+121,297268478666i</v>
      </c>
      <c r="BG76" s="68">
        <f t="shared" si="94"/>
        <v>41.6790334996519</v>
      </c>
      <c r="BH76" s="31">
        <f t="shared" si="95"/>
        <v>88.7664857136927</v>
      </c>
      <c r="BI76" s="30" t="str">
        <f t="shared" si="103"/>
        <v>-4,36439757850225+611,250073287157i</v>
      </c>
      <c r="BJ76" s="68">
        <f t="shared" si="97"/>
        <v>55.724599887304</v>
      </c>
      <c r="BK76" s="31">
        <f t="shared" si="104"/>
        <v>90.4090916679389</v>
      </c>
      <c r="BL76" s="32">
        <f t="shared" si="99"/>
        <v>41.6790334996519</v>
      </c>
      <c r="BM76" s="31">
        <f t="shared" si="100"/>
        <v>88.7664857136927</v>
      </c>
      <c r="BO76">
        <f t="shared" si="101"/>
        <v>0</v>
      </c>
      <c r="BP76">
        <f t="shared" si="102"/>
        <v>0</v>
      </c>
    </row>
    <row r="77" spans="1:68">
      <c r="A77" s="30" t="str">
        <f>"Crossover Frequency = "&amp;B77</f>
        <v>Crossover Frequency = 3,5 kHz</v>
      </c>
      <c r="B77" s="32" t="str">
        <f>ROUND(D77,1)&amp;" kHz"</f>
        <v>3,5 kHz</v>
      </c>
      <c r="C77" s="91"/>
      <c r="D77" s="92">
        <f>BP12</f>
        <v>3.54813389233575</v>
      </c>
      <c r="N77" s="7">
        <v>59</v>
      </c>
      <c r="O77" s="18">
        <f t="shared" si="62"/>
        <v>38.9045144994281</v>
      </c>
      <c r="P77" s="86" t="str">
        <f t="shared" si="50"/>
        <v>15</v>
      </c>
      <c r="Q77" s="4" t="str">
        <f t="shared" si="51"/>
        <v>1+0,0712962465500139i</v>
      </c>
      <c r="R77" s="4">
        <f t="shared" si="63"/>
        <v>1.00253835576108</v>
      </c>
      <c r="S77" s="4">
        <f t="shared" si="64"/>
        <v>0.071175810369333</v>
      </c>
      <c r="T77" s="4" t="str">
        <f t="shared" si="52"/>
        <v>1+0,0000488888547771524i</v>
      </c>
      <c r="U77" s="4">
        <f t="shared" si="65"/>
        <v>1.00000000119506</v>
      </c>
      <c r="V77" s="4">
        <f t="shared" si="66"/>
        <v>4.88888547382023e-5</v>
      </c>
      <c r="W77" t="str">
        <f t="shared" si="53"/>
        <v>1-0,00427777479300084i</v>
      </c>
      <c r="X77" s="4">
        <f t="shared" si="67"/>
        <v>1.00000914963673</v>
      </c>
      <c r="Y77" s="4">
        <f t="shared" si="68"/>
        <v>-0.00427774869977771</v>
      </c>
      <c r="Z77" t="str">
        <f t="shared" si="54"/>
        <v>0,999999989236898+0,000226983968608207i</v>
      </c>
      <c r="AA77" s="4">
        <f t="shared" si="69"/>
        <v>1.00000001499776</v>
      </c>
      <c r="AB77" s="4">
        <f t="shared" si="70"/>
        <v>0.000226983967153057</v>
      </c>
      <c r="AC77" s="67" t="str">
        <f t="shared" si="71"/>
        <v>14,9193852809747-1,13053421799397i</v>
      </c>
      <c r="AD77" s="68">
        <f t="shared" si="72"/>
        <v>23.4998845910091</v>
      </c>
      <c r="AE77" s="31">
        <f t="shared" si="73"/>
        <v>-4.33337458219436</v>
      </c>
      <c r="AF77" s="32" t="str">
        <f t="shared" si="74"/>
        <v>75,4669735059805</v>
      </c>
      <c r="AG77" s="32" t="str">
        <f t="shared" si="55"/>
        <v>1+0,0458333013535804i</v>
      </c>
      <c r="AH77" s="32">
        <f t="shared" si="75"/>
        <v>1.001049794722</v>
      </c>
      <c r="AI77" s="32">
        <f t="shared" si="76"/>
        <v>0.0458012478688598</v>
      </c>
      <c r="AJ77" s="32" t="str">
        <f t="shared" si="56"/>
        <v>1+0,0000488888547771524i</v>
      </c>
      <c r="AK77" s="32">
        <f t="shared" si="77"/>
        <v>1.00000000119506</v>
      </c>
      <c r="AL77" s="32">
        <f t="shared" si="78"/>
        <v>4.88888547382023e-5</v>
      </c>
      <c r="AM77" s="32" t="str">
        <f t="shared" si="57"/>
        <v>1-0,00054659401311914i</v>
      </c>
      <c r="AN77" s="32">
        <f t="shared" si="79"/>
        <v>1.0000001493825</v>
      </c>
      <c r="AO77" s="32">
        <f t="shared" si="80"/>
        <v>-0.00054659395868476</v>
      </c>
      <c r="AP77" s="30" t="str">
        <f t="shared" si="81"/>
        <v>75,3070571142489-3,48913134476704i</v>
      </c>
      <c r="AQ77" s="32">
        <f t="shared" si="82"/>
        <v>37.5460263614281</v>
      </c>
      <c r="AR77" s="31">
        <f t="shared" si="83"/>
        <v>-2.65273460121648</v>
      </c>
      <c r="AS77" t="str">
        <f t="shared" si="58"/>
        <v>-0,000338461538461538</v>
      </c>
      <c r="AT77" t="str">
        <f t="shared" si="59"/>
        <v>0,0000427909479207981i</v>
      </c>
      <c r="AU77">
        <f t="shared" si="84"/>
        <v>4.27909479207981e-5</v>
      </c>
      <c r="AV77">
        <f t="shared" si="85"/>
        <v>1.5707963267949</v>
      </c>
      <c r="AW77" t="str">
        <f t="shared" si="60"/>
        <v>1+0,00694481243610118i</v>
      </c>
      <c r="AX77">
        <f t="shared" si="86"/>
        <v>1.00002411491912</v>
      </c>
      <c r="AY77">
        <f t="shared" si="87"/>
        <v>0.00694470078892569</v>
      </c>
      <c r="AZ77" t="str">
        <f t="shared" si="61"/>
        <v>1+0,060622179923669i</v>
      </c>
      <c r="BA77">
        <f t="shared" si="88"/>
        <v>1.00183583919657</v>
      </c>
      <c r="BB77">
        <f t="shared" si="89"/>
        <v>0.0605480800929835</v>
      </c>
      <c r="BC77" s="30" t="str">
        <f t="shared" si="90"/>
        <v>-0,424548860644984+7,9126011520342i</v>
      </c>
      <c r="BD77" s="32">
        <f t="shared" si="91"/>
        <v>17.9788701592515</v>
      </c>
      <c r="BE77" s="31">
        <f t="shared" si="92"/>
        <v>93.0712474017614</v>
      </c>
      <c r="BF77" s="30" t="str">
        <f t="shared" si="93"/>
        <v>2,61145833315182+118,531112176052i</v>
      </c>
      <c r="BG77" s="68">
        <f t="shared" si="94"/>
        <v>41.4787547502606</v>
      </c>
      <c r="BH77" s="31">
        <f t="shared" si="95"/>
        <v>88.7378728195671</v>
      </c>
      <c r="BI77" s="30" t="str">
        <f t="shared" si="103"/>
        <v>-4,3634205981788+597,356013615573i</v>
      </c>
      <c r="BJ77" s="68">
        <f t="shared" si="97"/>
        <v>55.5248965206797</v>
      </c>
      <c r="BK77" s="31">
        <f t="shared" si="104"/>
        <v>90.418512800545</v>
      </c>
      <c r="BL77" s="32">
        <f t="shared" si="99"/>
        <v>41.4787547502606</v>
      </c>
      <c r="BM77" s="31">
        <f t="shared" si="100"/>
        <v>88.7378728195671</v>
      </c>
      <c r="BO77">
        <f t="shared" si="101"/>
        <v>0</v>
      </c>
      <c r="BP77">
        <f t="shared" si="102"/>
        <v>0</v>
      </c>
    </row>
    <row r="78" spans="1:68">
      <c r="A78" s="30" t="str">
        <f>"Phase Margin = "&amp;B78</f>
        <v>Phase Margin = 34°</v>
      </c>
      <c r="B78" s="93" t="str">
        <f>ROUND(D78,0)&amp;"°"</f>
        <v>34°</v>
      </c>
      <c r="C78" s="94"/>
      <c r="D78" s="18">
        <f>BP14</f>
        <v>33.898511271649</v>
      </c>
      <c r="N78" s="7">
        <v>60</v>
      </c>
      <c r="O78" s="18">
        <f t="shared" si="62"/>
        <v>39.8107170553498</v>
      </c>
      <c r="P78" s="86" t="str">
        <f t="shared" si="50"/>
        <v>15</v>
      </c>
      <c r="Q78" s="4" t="str">
        <f t="shared" si="51"/>
        <v>1+0,0729569494705499i</v>
      </c>
      <c r="R78" s="4">
        <f t="shared" si="63"/>
        <v>1.00265782621792</v>
      </c>
      <c r="S78" s="4">
        <f t="shared" si="64"/>
        <v>0.0728279182462028</v>
      </c>
      <c r="T78" s="4" t="str">
        <f t="shared" si="52"/>
        <v>1+0,0000500276224940914i</v>
      </c>
      <c r="U78" s="4">
        <f t="shared" si="65"/>
        <v>1.00000000125138</v>
      </c>
      <c r="V78" s="4">
        <f t="shared" si="66"/>
        <v>5.00276224523556e-5</v>
      </c>
      <c r="W78" t="str">
        <f t="shared" si="53"/>
        <v>1-0,004377416968233i</v>
      </c>
      <c r="X78" s="4">
        <f t="shared" si="67"/>
        <v>1.00000958084376</v>
      </c>
      <c r="Y78" s="4">
        <f t="shared" si="68"/>
        <v>-0.00437738900885515</v>
      </c>
      <c r="Z78" t="str">
        <f t="shared" si="54"/>
        <v>0,999999988729648+0,000232271104436852i</v>
      </c>
      <c r="AA78" s="4">
        <f t="shared" si="69"/>
        <v>1.00000001570458</v>
      </c>
      <c r="AB78" s="4">
        <f t="shared" si="70"/>
        <v>0.000232271102877631</v>
      </c>
      <c r="AC78" s="67" t="str">
        <f t="shared" si="71"/>
        <v>14,9156061416098-1,15659202823188i</v>
      </c>
      <c r="AD78" s="68">
        <f t="shared" si="72"/>
        <v>23.4988533126074</v>
      </c>
      <c r="AE78" s="31">
        <f t="shared" si="73"/>
        <v>-4.43398004399774</v>
      </c>
      <c r="AF78" s="32" t="str">
        <f t="shared" si="74"/>
        <v>75,4669735059805</v>
      </c>
      <c r="AG78" s="32" t="str">
        <f t="shared" si="55"/>
        <v>1+0,0469008960882107i</v>
      </c>
      <c r="AH78" s="32">
        <f t="shared" si="75"/>
        <v>1.00109924285951</v>
      </c>
      <c r="AI78" s="32">
        <f t="shared" si="76"/>
        <v>0.0468665521970447</v>
      </c>
      <c r="AJ78" s="32" t="str">
        <f t="shared" si="56"/>
        <v>1+0,0000500276224940914i</v>
      </c>
      <c r="AK78" s="32">
        <f t="shared" si="77"/>
        <v>1.00000000125138</v>
      </c>
      <c r="AL78" s="32">
        <f t="shared" si="78"/>
        <v>5.00276224523556e-5</v>
      </c>
      <c r="AM78" s="32" t="str">
        <f t="shared" si="57"/>
        <v>1-0,00055932582324743i</v>
      </c>
      <c r="AN78" s="32">
        <f t="shared" si="79"/>
        <v>1.00000015642268</v>
      </c>
      <c r="AO78" s="32">
        <f t="shared" si="80"/>
        <v>-0.000559325764919942</v>
      </c>
      <c r="AP78" s="30" t="str">
        <f t="shared" si="81"/>
        <v>75,2995370287843-3,57005095550028i</v>
      </c>
      <c r="AQ78" s="32">
        <f t="shared" si="82"/>
        <v>37.5455973830139</v>
      </c>
      <c r="AR78" s="31">
        <f t="shared" si="83"/>
        <v>-2.71443627529748</v>
      </c>
      <c r="AS78" t="str">
        <f t="shared" si="58"/>
        <v>-0,000338461538461538</v>
      </c>
      <c r="AT78" t="str">
        <f t="shared" si="59"/>
        <v>0,0000437876771404034i</v>
      </c>
      <c r="AU78">
        <f t="shared" si="84"/>
        <v>4.37876771404034e-5</v>
      </c>
      <c r="AV78">
        <f t="shared" si="85"/>
        <v>1.5707963267949</v>
      </c>
      <c r="AW78" t="str">
        <f t="shared" si="60"/>
        <v>1+0,00710657789856655i</v>
      </c>
      <c r="AX78">
        <f t="shared" si="86"/>
        <v>1.0000252514059</v>
      </c>
      <c r="AY78">
        <f t="shared" si="87"/>
        <v>0.00710645826662579</v>
      </c>
      <c r="AZ78" t="str">
        <f t="shared" si="61"/>
        <v>1+0,0620342518926733i</v>
      </c>
      <c r="BA78">
        <f t="shared" si="88"/>
        <v>1.00192227663022</v>
      </c>
      <c r="BB78">
        <f t="shared" si="89"/>
        <v>0.0619548607186936</v>
      </c>
      <c r="BC78" s="30" t="str">
        <f t="shared" si="90"/>
        <v>-0,424547895681563+7,73262414488644i</v>
      </c>
      <c r="BD78" s="32">
        <f t="shared" si="91"/>
        <v>17.7796096659818</v>
      </c>
      <c r="BE78" s="31">
        <f t="shared" si="92"/>
        <v>93.1425819735385</v>
      </c>
      <c r="BF78" s="30" t="str">
        <f t="shared" si="93"/>
        <v>2,61110224305358+115,827804897976i</v>
      </c>
      <c r="BG78" s="68">
        <f t="shared" si="94"/>
        <v>41.2784629785891</v>
      </c>
      <c r="BH78" s="31">
        <f t="shared" si="95"/>
        <v>88.7086019295407</v>
      </c>
      <c r="BI78" s="30" t="str">
        <f t="shared" si="103"/>
        <v>-4,36239777438994+583,778675748182i</v>
      </c>
      <c r="BJ78" s="68">
        <f t="shared" si="97"/>
        <v>55.3252070489957</v>
      </c>
      <c r="BK78" s="31">
        <f t="shared" si="104"/>
        <v>90.428145698241</v>
      </c>
      <c r="BL78" s="32">
        <f t="shared" si="99"/>
        <v>41.2784629785891</v>
      </c>
      <c r="BM78" s="31">
        <f t="shared" si="100"/>
        <v>88.7086019295407</v>
      </c>
      <c r="BO78">
        <f t="shared" si="101"/>
        <v>0</v>
      </c>
      <c r="BP78">
        <f t="shared" si="102"/>
        <v>0</v>
      </c>
    </row>
    <row r="79" spans="1:68">
      <c r="N79" s="7">
        <v>61</v>
      </c>
      <c r="O79" s="18">
        <f t="shared" si="62"/>
        <v>40.7380277804113</v>
      </c>
      <c r="P79" s="86" t="str">
        <f t="shared" si="50"/>
        <v>15</v>
      </c>
      <c r="Q79" s="4" t="str">
        <f t="shared" si="51"/>
        <v>1+0,0746563351313949i</v>
      </c>
      <c r="R79" s="4">
        <f t="shared" si="63"/>
        <v>1.00278291188834</v>
      </c>
      <c r="S79" s="4">
        <f t="shared" si="64"/>
        <v>0.0745180963980809</v>
      </c>
      <c r="T79" s="4" t="str">
        <f t="shared" si="52"/>
        <v>1+0,0000511929155186708i</v>
      </c>
      <c r="U79" s="4">
        <f t="shared" si="65"/>
        <v>1.00000000131036</v>
      </c>
      <c r="V79" s="4">
        <f t="shared" si="66"/>
        <v>5.11929154739501e-5</v>
      </c>
      <c r="W79" t="str">
        <f t="shared" si="53"/>
        <v>1-0,0044793801078837i</v>
      </c>
      <c r="X79" s="4">
        <f t="shared" si="67"/>
        <v>1.00001003237275</v>
      </c>
      <c r="Y79" s="4">
        <f t="shared" si="68"/>
        <v>-0.0044793501488868</v>
      </c>
      <c r="Z79" t="str">
        <f t="shared" si="54"/>
        <v>0,999999988198493+0,000237681393479542i</v>
      </c>
      <c r="AA79" s="4">
        <f t="shared" si="69"/>
        <v>1.00000001644472</v>
      </c>
      <c r="AB79" s="4">
        <f t="shared" si="70"/>
        <v>0.000237681391808806</v>
      </c>
      <c r="AC79" s="67" t="str">
        <f t="shared" si="71"/>
        <v>14,9116508268245-1,18323722800921i</v>
      </c>
      <c r="AD79" s="68">
        <f t="shared" si="72"/>
        <v>23.4977736958624</v>
      </c>
      <c r="AE79" s="31">
        <f t="shared" si="73"/>
        <v>-4.53690528207337</v>
      </c>
      <c r="AF79" s="32" t="str">
        <f t="shared" si="74"/>
        <v>75,4669735059805</v>
      </c>
      <c r="AG79" s="32" t="str">
        <f t="shared" si="55"/>
        <v>1+0,0479933582987539i</v>
      </c>
      <c r="AH79" s="32">
        <f t="shared" si="75"/>
        <v>1.00115101879826</v>
      </c>
      <c r="AI79" s="32">
        <f t="shared" si="76"/>
        <v>0.0479565604410268</v>
      </c>
      <c r="AJ79" s="32" t="str">
        <f t="shared" si="56"/>
        <v>1+0,0000511929155186708i</v>
      </c>
      <c r="AK79" s="32">
        <f t="shared" si="77"/>
        <v>1.00000000131036</v>
      </c>
      <c r="AL79" s="32">
        <f t="shared" si="78"/>
        <v>5.11929154739501e-5</v>
      </c>
      <c r="AM79" s="32" t="str">
        <f t="shared" si="57"/>
        <v>1-0,000572354195330759i</v>
      </c>
      <c r="AN79" s="32">
        <f t="shared" si="79"/>
        <v>1.00000016379465</v>
      </c>
      <c r="AO79" s="32">
        <f t="shared" si="80"/>
        <v>-0.00057235413283173</v>
      </c>
      <c r="AP79" s="30" t="str">
        <f t="shared" si="81"/>
        <v>75,2916641248744-3,65283027775045i</v>
      </c>
      <c r="AQ79" s="32">
        <f t="shared" si="82"/>
        <v>37.5451482328936</v>
      </c>
      <c r="AR79" s="31">
        <f t="shared" si="83"/>
        <v>-2.77756885143538</v>
      </c>
      <c r="AS79" t="str">
        <f t="shared" si="58"/>
        <v>-0,000338461538461538</v>
      </c>
      <c r="AT79" t="str">
        <f t="shared" si="59"/>
        <v>0,000044807623166027i</v>
      </c>
      <c r="AU79">
        <f t="shared" si="84"/>
        <v>4.4807623166027e-5</v>
      </c>
      <c r="AV79">
        <f t="shared" si="85"/>
        <v>1.5707963267949</v>
      </c>
      <c r="AW79" t="str">
        <f t="shared" si="60"/>
        <v>1+0,00727211136270045i</v>
      </c>
      <c r="AX79">
        <f t="shared" si="86"/>
        <v>1.00002644145226</v>
      </c>
      <c r="AY79">
        <f t="shared" si="87"/>
        <v>0.00727198317494946</v>
      </c>
      <c r="AZ79" t="str">
        <f t="shared" si="61"/>
        <v>1+0,0634792152431518i</v>
      </c>
      <c r="BA79">
        <f t="shared" si="88"/>
        <v>1.0020127797428</v>
      </c>
      <c r="BB79">
        <f t="shared" si="89"/>
        <v>0.0633941552939687</v>
      </c>
      <c r="BC79" s="30" t="str">
        <f t="shared" si="90"/>
        <v>-0,424546885245526+7,55674707676716i</v>
      </c>
      <c r="BD79" s="32">
        <f t="shared" si="91"/>
        <v>17.5803838860489</v>
      </c>
      <c r="BE79" s="31">
        <f t="shared" si="92"/>
        <v>93.2155635995266</v>
      </c>
      <c r="BF79" s="30" t="str">
        <f t="shared" si="93"/>
        <v>2,61072955148346+113,185913475037i</v>
      </c>
      <c r="BG79" s="68">
        <f t="shared" si="94"/>
        <v>41.0781575819114</v>
      </c>
      <c r="BH79" s="31">
        <f t="shared" si="95"/>
        <v>88.6786583174532</v>
      </c>
      <c r="BI79" s="30" t="str">
        <f t="shared" si="103"/>
        <v>-4,36132696585045+570,510860497329i</v>
      </c>
      <c r="BJ79" s="68">
        <f t="shared" si="97"/>
        <v>55.1255321189425</v>
      </c>
      <c r="BK79" s="31">
        <f t="shared" si="104"/>
        <v>90.4379947480912</v>
      </c>
      <c r="BL79" s="32">
        <f t="shared" si="99"/>
        <v>41.0781575819114</v>
      </c>
      <c r="BM79" s="31">
        <f t="shared" si="100"/>
        <v>88.6786583174532</v>
      </c>
      <c r="BO79">
        <f t="shared" si="101"/>
        <v>0</v>
      </c>
      <c r="BP79">
        <f t="shared" si="102"/>
        <v>0</v>
      </c>
    </row>
    <row r="80" spans="1:68">
      <c r="N80" s="7">
        <v>62</v>
      </c>
      <c r="O80" s="18">
        <f t="shared" si="62"/>
        <v>41.6869383470336</v>
      </c>
      <c r="P80" s="86" t="str">
        <f t="shared" si="50"/>
        <v>15</v>
      </c>
      <c r="Q80" s="4" t="str">
        <f t="shared" si="51"/>
        <v>1+0,07639530456932i</v>
      </c>
      <c r="R80" s="4">
        <f t="shared" si="63"/>
        <v>1.00291387594361</v>
      </c>
      <c r="S80" s="4">
        <f t="shared" si="64"/>
        <v>0.0762472023314717</v>
      </c>
      <c r="T80" s="4" t="str">
        <f t="shared" si="52"/>
        <v>1+0,0000523853517046766i</v>
      </c>
      <c r="U80" s="4">
        <f t="shared" si="65"/>
        <v>1.00000000137211</v>
      </c>
      <c r="V80" s="4">
        <f t="shared" si="66"/>
        <v>5.23853516567575e-5</v>
      </c>
      <c r="W80" t="str">
        <f t="shared" si="53"/>
        <v>1-0,00458371827415921i</v>
      </c>
      <c r="X80" s="4">
        <f t="shared" si="67"/>
        <v>1.00001050518143</v>
      </c>
      <c r="Y80" s="4">
        <f t="shared" si="68"/>
        <v>-0.00458368617253388</v>
      </c>
      <c r="Z80" t="str">
        <f t="shared" si="54"/>
        <v>0,999999987642305+0,000243217704343141i</v>
      </c>
      <c r="AA80" s="4">
        <f t="shared" si="69"/>
        <v>1.00000001721973</v>
      </c>
      <c r="AB80" s="4">
        <f t="shared" si="70"/>
        <v>0.000243217702552915</v>
      </c>
      <c r="AC80" s="67" t="str">
        <f t="shared" si="71"/>
        <v>14,9075112183388-1,21048211686709i</v>
      </c>
      <c r="AD80" s="68">
        <f t="shared" si="72"/>
        <v>23.4966434880137</v>
      </c>
      <c r="AE80" s="31">
        <f t="shared" si="73"/>
        <v>-4.64220265387297</v>
      </c>
      <c r="AF80" s="32" t="str">
        <f t="shared" si="74"/>
        <v>75,4669735059805</v>
      </c>
      <c r="AG80" s="32" t="str">
        <f t="shared" si="55"/>
        <v>1+0,0491112672231343i</v>
      </c>
      <c r="AH80" s="32">
        <f t="shared" si="75"/>
        <v>1.00120523199205</v>
      </c>
      <c r="AI80" s="32">
        <f t="shared" si="76"/>
        <v>0.0490718401712473</v>
      </c>
      <c r="AJ80" s="32" t="str">
        <f t="shared" si="56"/>
        <v>1+0,0000523853517046766i</v>
      </c>
      <c r="AK80" s="32">
        <f t="shared" si="77"/>
        <v>1.00000000137211</v>
      </c>
      <c r="AL80" s="32">
        <f t="shared" si="78"/>
        <v>5.23853516567575e-5</v>
      </c>
      <c r="AM80" s="32" t="str">
        <f t="shared" si="57"/>
        <v>1-0,000585686037184457i</v>
      </c>
      <c r="AN80" s="32">
        <f t="shared" si="79"/>
        <v>1.00000017151405</v>
      </c>
      <c r="AO80" s="32">
        <f t="shared" si="80"/>
        <v>-0.000585685970215541</v>
      </c>
      <c r="AP80" s="30" t="str">
        <f t="shared" si="81"/>
        <v>75,283421927775-3,73751084046875i</v>
      </c>
      <c r="AQ80" s="32">
        <f t="shared" si="82"/>
        <v>37.5446779647759</v>
      </c>
      <c r="AR80" s="31">
        <f t="shared" si="83"/>
        <v>-2.84216520940813</v>
      </c>
      <c r="AS80" t="str">
        <f t="shared" si="58"/>
        <v>-0,000338461538461538</v>
      </c>
      <c r="AT80" t="str">
        <f t="shared" si="59"/>
        <v>0,0000458513267865522i</v>
      </c>
      <c r="AU80">
        <f t="shared" si="84"/>
        <v>4.58513267865522e-5</v>
      </c>
      <c r="AV80">
        <f t="shared" si="85"/>
        <v>1.5707963267949</v>
      </c>
      <c r="AW80" t="str">
        <f t="shared" si="60"/>
        <v>1+0,00744150059653663i</v>
      </c>
      <c r="AX80">
        <f t="shared" si="86"/>
        <v>1.00002768758226</v>
      </c>
      <c r="AY80">
        <f t="shared" si="87"/>
        <v>0.00744136324109214</v>
      </c>
      <c r="AZ80" t="str">
        <f t="shared" si="61"/>
        <v>1+0,064957836113799i</v>
      </c>
      <c r="BA80">
        <f t="shared" si="88"/>
        <v>1.00210753937518</v>
      </c>
      <c r="BB80">
        <f t="shared" si="89"/>
        <v>0.0648667030856046</v>
      </c>
      <c r="BC80" s="30" t="str">
        <f t="shared" si="90"/>
        <v>-0,424545827194259+7,38487669528064i</v>
      </c>
      <c r="BD80" s="32">
        <f t="shared" si="91"/>
        <v>17.381194442131</v>
      </c>
      <c r="BE80" s="31">
        <f t="shared" si="92"/>
        <v>93.290229610195</v>
      </c>
      <c r="BF80" s="30" t="str">
        <f t="shared" si="93"/>
        <v>2,61033949330841+110,604037312554i</v>
      </c>
      <c r="BG80" s="68">
        <f t="shared" si="94"/>
        <v>40.8778379301447</v>
      </c>
      <c r="BH80" s="31">
        <f t="shared" si="95"/>
        <v>88.648026956322</v>
      </c>
      <c r="BI80" s="30" t="str">
        <f t="shared" si="103"/>
        <v>-4,36020593220522+557,545532766819i</v>
      </c>
      <c r="BJ80" s="68">
        <f t="shared" si="97"/>
        <v>54.9258724069069</v>
      </c>
      <c r="BK80" s="31">
        <f t="shared" si="104"/>
        <v>90.4480644007869</v>
      </c>
      <c r="BL80" s="32">
        <f t="shared" si="99"/>
        <v>40.8778379301447</v>
      </c>
      <c r="BM80" s="31">
        <f t="shared" si="100"/>
        <v>88.648026956322</v>
      </c>
      <c r="BO80">
        <f t="shared" si="101"/>
        <v>0</v>
      </c>
      <c r="BP80">
        <f t="shared" si="102"/>
        <v>0</v>
      </c>
    </row>
    <row r="81" spans="14:68">
      <c r="N81" s="7">
        <v>63</v>
      </c>
      <c r="O81" s="18">
        <f t="shared" si="62"/>
        <v>42.6579518801593</v>
      </c>
      <c r="P81" s="86" t="str">
        <f t="shared" si="50"/>
        <v>15</v>
      </c>
      <c r="Q81" s="4" t="str">
        <f t="shared" si="51"/>
        <v>1+0,078174779808939i</v>
      </c>
      <c r="R81" s="4">
        <f t="shared" si="63"/>
        <v>1.00305099381745</v>
      </c>
      <c r="S81" s="4">
        <f t="shared" si="64"/>
        <v>0.0780161114605382</v>
      </c>
      <c r="T81" s="4" t="str">
        <f t="shared" si="52"/>
        <v>1+0,0000536055632975582i</v>
      </c>
      <c r="U81" s="4">
        <f t="shared" si="65"/>
        <v>1.00000000143678</v>
      </c>
      <c r="V81" s="4">
        <f t="shared" si="66"/>
        <v>5.3605563246212e-5</v>
      </c>
      <c r="W81" t="str">
        <f t="shared" si="53"/>
        <v>1-0,00469048678853635i</v>
      </c>
      <c r="X81" s="4">
        <f t="shared" si="67"/>
        <v>1.00001100027265</v>
      </c>
      <c r="Y81" s="4">
        <f t="shared" si="68"/>
        <v>-0.00469045239104551</v>
      </c>
      <c r="Z81" t="str">
        <f t="shared" si="54"/>
        <v>0,999999987059905+0,000248882972452948i</v>
      </c>
      <c r="AA81" s="4">
        <f t="shared" si="69"/>
        <v>1.00000001803127</v>
      </c>
      <c r="AB81" s="4">
        <f t="shared" si="70"/>
        <v>0.000248882970534687</v>
      </c>
      <c r="AC81" s="67" t="str">
        <f t="shared" si="71"/>
        <v>14,9031788328483-1,23833918407229i</v>
      </c>
      <c r="AD81" s="68">
        <f t="shared" si="72"/>
        <v>23.4954603325565</v>
      </c>
      <c r="AE81" s="31">
        <f t="shared" si="73"/>
        <v>-4.74992561799691</v>
      </c>
      <c r="AF81" s="32" t="str">
        <f t="shared" si="74"/>
        <v>75,4669735059805</v>
      </c>
      <c r="AG81" s="32" t="str">
        <f t="shared" si="55"/>
        <v>1+0,0502552155914608i</v>
      </c>
      <c r="AH81" s="32">
        <f t="shared" si="75"/>
        <v>1.00126199702882</v>
      </c>
      <c r="AI81" s="32">
        <f t="shared" si="76"/>
        <v>0.0502129716195592</v>
      </c>
      <c r="AJ81" s="32" t="str">
        <f t="shared" si="56"/>
        <v>1+0,0000536055632975582i</v>
      </c>
      <c r="AK81" s="32">
        <f t="shared" si="77"/>
        <v>1.00000000143678</v>
      </c>
      <c r="AL81" s="32">
        <f t="shared" si="78"/>
        <v>5.3605563246212e-5</v>
      </c>
      <c r="AM81" s="32" t="str">
        <f t="shared" si="57"/>
        <v>1-0,000599328417527539i</v>
      </c>
      <c r="AN81" s="32">
        <f t="shared" si="79"/>
        <v>1.00000017959726</v>
      </c>
      <c r="AO81" s="32">
        <f t="shared" si="80"/>
        <v>-0.000599328345769054</v>
      </c>
      <c r="AP81" s="30" t="str">
        <f t="shared" si="81"/>
        <v>75,2747932009992-3,82413501310062i</v>
      </c>
      <c r="AQ81" s="32">
        <f t="shared" si="82"/>
        <v>37.5441855881928</v>
      </c>
      <c r="AR81" s="31">
        <f t="shared" si="83"/>
        <v>-2.90825896283361</v>
      </c>
      <c r="AS81" t="str">
        <f t="shared" si="58"/>
        <v>-0,000338461538461538</v>
      </c>
      <c r="AT81" t="str">
        <f t="shared" si="59"/>
        <v>0,0000469193413874537i</v>
      </c>
      <c r="AU81">
        <f t="shared" si="84"/>
        <v>4.69193413874537e-5</v>
      </c>
      <c r="AV81">
        <f t="shared" si="85"/>
        <v>1.5707963267949</v>
      </c>
      <c r="AW81" t="str">
        <f t="shared" si="60"/>
        <v>1+0,00761483541248898i</v>
      </c>
      <c r="AX81">
        <f t="shared" si="86"/>
        <v>1.0000289924389</v>
      </c>
      <c r="AY81">
        <f t="shared" si="87"/>
        <v>0.00761468823370898</v>
      </c>
      <c r="AZ81" t="str">
        <f t="shared" si="61"/>
        <v>1+0,0664708984889721i</v>
      </c>
      <c r="BA81">
        <f t="shared" si="88"/>
        <v>1.00220675528851</v>
      </c>
      <c r="BB81">
        <f t="shared" si="89"/>
        <v>0.0663732592989878</v>
      </c>
      <c r="BC81" s="30" t="str">
        <f t="shared" si="90"/>
        <v>-0,42454471928422+7,21692187242606i</v>
      </c>
      <c r="BD81" s="32">
        <f t="shared" si="91"/>
        <v>17.182043032104</v>
      </c>
      <c r="BE81" s="31">
        <f t="shared" si="92"/>
        <v>93.36661813226</v>
      </c>
      <c r="BF81" s="30" t="str">
        <f t="shared" si="93"/>
        <v>2,60993126897944+108,080807648741i</v>
      </c>
      <c r="BG81" s="68">
        <f t="shared" si="94"/>
        <v>40.6775033646605</v>
      </c>
      <c r="BH81" s="31">
        <f t="shared" si="95"/>
        <v>88.6166925142631</v>
      </c>
      <c r="BI81" s="30" t="str">
        <f t="shared" si="103"/>
        <v>-4,35903232953973+544,875817820281i</v>
      </c>
      <c r="BJ81" s="68">
        <f t="shared" si="97"/>
        <v>54.7262286202969</v>
      </c>
      <c r="BK81" s="31">
        <f t="shared" si="104"/>
        <v>90.4583591694264</v>
      </c>
      <c r="BL81" s="32">
        <f t="shared" si="99"/>
        <v>40.6775033646605</v>
      </c>
      <c r="BM81" s="31">
        <f t="shared" si="100"/>
        <v>88.6166925142631</v>
      </c>
      <c r="BO81">
        <f t="shared" si="101"/>
        <v>0</v>
      </c>
      <c r="BP81">
        <f t="shared" si="102"/>
        <v>0</v>
      </c>
    </row>
    <row r="82" spans="14:68">
      <c r="N82" s="7">
        <v>64</v>
      </c>
      <c r="O82" s="18">
        <f t="shared" si="62"/>
        <v>43.6515832240166</v>
      </c>
      <c r="P82" s="86" t="str">
        <f t="shared" si="50"/>
        <v>15</v>
      </c>
      <c r="Q82" s="4" t="str">
        <f t="shared" si="51"/>
        <v>1+0,0799957043515781i</v>
      </c>
      <c r="R82" s="4">
        <f t="shared" si="63"/>
        <v>1.00319455377046</v>
      </c>
      <c r="S82" s="4">
        <f t="shared" si="64"/>
        <v>0.079825717379677</v>
      </c>
      <c r="T82" s="4" t="str">
        <f t="shared" si="52"/>
        <v>1+0,0000548541972696536i</v>
      </c>
      <c r="U82" s="4">
        <f t="shared" si="65"/>
        <v>1.00000000150449</v>
      </c>
      <c r="V82" s="4">
        <f t="shared" si="66"/>
        <v>5.48541972146352e-5</v>
      </c>
      <c r="W82" t="str">
        <f t="shared" si="53"/>
        <v>1-0,00479974226109469i</v>
      </c>
      <c r="X82" s="4">
        <f t="shared" si="67"/>
        <v>1.00001151869655</v>
      </c>
      <c r="Y82" s="4">
        <f t="shared" si="68"/>
        <v>-0.00479970540354214</v>
      </c>
      <c r="Z82" t="str">
        <f t="shared" si="54"/>
        <v>0,999999986450057+0,000254680201609105i</v>
      </c>
      <c r="AA82" s="4">
        <f t="shared" si="69"/>
        <v>1.00000001888106</v>
      </c>
      <c r="AB82" s="4">
        <f t="shared" si="70"/>
        <v>0.000254680199553651</v>
      </c>
      <c r="AC82" s="67" t="str">
        <f t="shared" si="71"/>
        <v>14,8986448064825-1,26682110636956i</v>
      </c>
      <c r="AD82" s="68">
        <f t="shared" si="72"/>
        <v>23.4942217645831</v>
      </c>
      <c r="AE82" s="31">
        <f t="shared" si="73"/>
        <v>-4.8601287515597</v>
      </c>
      <c r="AF82" s="32" t="str">
        <f t="shared" si="74"/>
        <v>75,4669735059805</v>
      </c>
      <c r="AG82" s="32" t="str">
        <f t="shared" si="55"/>
        <v>1+0,0514258099403003i</v>
      </c>
      <c r="AH82" s="32">
        <f t="shared" si="75"/>
        <v>1.00132143387027</v>
      </c>
      <c r="AI82" s="32">
        <f t="shared" si="76"/>
        <v>0.0513805479345318</v>
      </c>
      <c r="AJ82" s="32" t="str">
        <f t="shared" si="56"/>
        <v>1+0,0000548541972696536i</v>
      </c>
      <c r="AK82" s="32">
        <f t="shared" si="77"/>
        <v>1.00000000150449</v>
      </c>
      <c r="AL82" s="32">
        <f t="shared" si="78"/>
        <v>5.48541972146352e-5</v>
      </c>
      <c r="AM82" s="32" t="str">
        <f t="shared" si="57"/>
        <v>1-0,000613288569730644i</v>
      </c>
      <c r="AN82" s="32">
        <f t="shared" si="79"/>
        <v>1.00000018806142</v>
      </c>
      <c r="AO82" s="32">
        <f t="shared" si="80"/>
        <v>-0.000613288492840042</v>
      </c>
      <c r="AP82" s="30" t="str">
        <f t="shared" si="81"/>
        <v>75,2657599118238-3,91274601622907i</v>
      </c>
      <c r="AQ82" s="32">
        <f t="shared" si="82"/>
        <v>37.5436700664574</v>
      </c>
      <c r="AR82" s="31">
        <f t="shared" si="83"/>
        <v>-2.97588447399299</v>
      </c>
      <c r="AS82" t="str">
        <f t="shared" si="58"/>
        <v>-0,000338461538461538</v>
      </c>
      <c r="AT82" t="str">
        <f t="shared" si="59"/>
        <v>0,0000480122332442097i</v>
      </c>
      <c r="AU82">
        <f t="shared" si="84"/>
        <v>4.80122332442097e-5</v>
      </c>
      <c r="AV82">
        <f t="shared" si="85"/>
        <v>1.5707963267949</v>
      </c>
      <c r="AW82" t="str">
        <f t="shared" si="60"/>
        <v>1+0,00779220771497129i</v>
      </c>
      <c r="AX82">
        <f t="shared" si="86"/>
        <v>1.00003035878971</v>
      </c>
      <c r="AY82">
        <f t="shared" si="87"/>
        <v>0.00779205001032577</v>
      </c>
      <c r="AZ82" t="str">
        <f t="shared" si="61"/>
        <v>1+0,0680192046143705i</v>
      </c>
      <c r="BA82">
        <f t="shared" si="88"/>
        <v>1.00231063657749</v>
      </c>
      <c r="BB82">
        <f t="shared" si="89"/>
        <v>0.0679145953591743</v>
      </c>
      <c r="BC82" s="30" t="str">
        <f t="shared" si="90"/>
        <v>-0,424543559166191+7,05279355628011i</v>
      </c>
      <c r="BD82" s="32">
        <f t="shared" si="91"/>
        <v>16.9829314324645</v>
      </c>
      <c r="BE82" s="31">
        <f t="shared" si="92"/>
        <v>93.4447681020729</v>
      </c>
      <c r="BF82" s="30" t="str">
        <f t="shared" si="93"/>
        <v>2,60950404306591+105,614886829791i</v>
      </c>
      <c r="BG82" s="68">
        <f t="shared" si="94"/>
        <v>40.4771531970477</v>
      </c>
      <c r="BH82" s="31">
        <f t="shared" si="95"/>
        <v>88.5846393505132</v>
      </c>
      <c r="BI82" s="30" t="str">
        <f t="shared" si="103"/>
        <v>-4,35780370569264+532,49499763448i</v>
      </c>
      <c r="BJ82" s="68">
        <f t="shared" si="97"/>
        <v>54.526601498922</v>
      </c>
      <c r="BK82" s="31">
        <f t="shared" si="104"/>
        <v>90.4688836280799</v>
      </c>
      <c r="BL82" s="32">
        <f t="shared" si="99"/>
        <v>40.4771531970477</v>
      </c>
      <c r="BM82" s="31">
        <f t="shared" si="100"/>
        <v>88.5846393505132</v>
      </c>
      <c r="BO82">
        <f t="shared" si="101"/>
        <v>0</v>
      </c>
      <c r="BP82">
        <f t="shared" si="102"/>
        <v>0</v>
      </c>
    </row>
    <row r="83" spans="14:68">
      <c r="N83" s="7">
        <v>65</v>
      </c>
      <c r="O83" s="18">
        <f t="shared" si="62"/>
        <v>44.6683592150963</v>
      </c>
      <c r="P83" s="86" t="str">
        <f t="shared" ref="P83:P146" si="105">COMPLEX(Adc,0)</f>
        <v>15</v>
      </c>
      <c r="Q83" s="4" t="str">
        <f t="shared" ref="Q83:Q146" si="106">IMSUM(COMPLEX(1,0),IMDIV(COMPLEX(0,2*PI()*O83),COMPLEX(wp_lf,0)))</f>
        <v>1+0,0818590436755329i</v>
      </c>
      <c r="R83" s="4">
        <f t="shared" si="63"/>
        <v>1.00334485747996</v>
      </c>
      <c r="S83" s="4">
        <f t="shared" si="64"/>
        <v>0.0816769321324917</v>
      </c>
      <c r="T83" s="4" t="str">
        <f t="shared" ref="T83:T146" si="107">IMSUM(COMPLEX(1,0),IMDIV(COMPLEX(0,2*PI()*O83),COMPLEX(wz_esr,0)))</f>
        <v>1+0,0000561319156632226i</v>
      </c>
      <c r="U83" s="4">
        <f t="shared" si="65"/>
        <v>1.0000000015754</v>
      </c>
      <c r="V83" s="4">
        <f t="shared" si="66"/>
        <v>5.61319156042693e-5</v>
      </c>
      <c r="W83" t="str">
        <f t="shared" ref="W83:W146" si="108">IMSUB(COMPLEX(1,0),IMDIV(COMPLEX(0,2*PI()*O83),COMPLEX(wz_rhp,0)))</f>
        <v>1-0,00491154262053198i</v>
      </c>
      <c r="X83" s="4">
        <f t="shared" si="67"/>
        <v>1.00001206155272</v>
      </c>
      <c r="Y83" s="4">
        <f t="shared" si="68"/>
        <v>-0.0049115031269786</v>
      </c>
      <c r="Z83" t="str">
        <f t="shared" ref="Z83:Z146" si="109">IMSUM(COMPLEX(1,0),IMDIV(COMPLEX(0,2*PI()*O83),COMPLEX(Q*(wsl/2),0)),IMDIV(IMPOWER(COMPLEX(0,2*PI()*O83),2),IMPOWER(COMPLEX(wsl/2,0),2)))</f>
        <v>0,999999985811468+0,000260612465579247i</v>
      </c>
      <c r="AA83" s="4">
        <f t="shared" si="69"/>
        <v>1.0000000197709</v>
      </c>
      <c r="AB83" s="4">
        <f t="shared" si="70"/>
        <v>0.000260612463376788</v>
      </c>
      <c r="AC83" s="67" t="str">
        <f t="shared" si="71"/>
        <v>14,8938998786866-1,29594074523507i</v>
      </c>
      <c r="AD83" s="68">
        <f t="shared" si="72"/>
        <v>23.4929252059267</v>
      </c>
      <c r="AE83" s="31">
        <f t="shared" si="73"/>
        <v>-4.97286776738933</v>
      </c>
      <c r="AF83" s="32" t="str">
        <f t="shared" si="74"/>
        <v>75,4669735059805</v>
      </c>
      <c r="AG83" s="32" t="str">
        <f t="shared" ref="AG83:AG146" si="110">IMSUM(COMPLEX(1,0),IMDIV(COMPLEX(0,2*PI()*O83),COMPLEX(wp_lf_DCM,0)))</f>
        <v>1+0,0526236709342712i</v>
      </c>
      <c r="AH83" s="32">
        <f t="shared" si="75"/>
        <v>1.00138366810259</v>
      </c>
      <c r="AI83" s="32">
        <f t="shared" si="76"/>
        <v>0.0525751754399115</v>
      </c>
      <c r="AJ83" s="32" t="str">
        <f t="shared" ref="AJ83:AJ146" si="111">IMSUM(COMPLEX(1,0),IMDIV(COMPLEX(0,2*PI()*O83),COMPLEX(wz1_dcm,0)))</f>
        <v>1+0,0000561319156632226i</v>
      </c>
      <c r="AK83" s="32">
        <f t="shared" si="77"/>
        <v>1.0000000015754</v>
      </c>
      <c r="AL83" s="32">
        <f t="shared" si="78"/>
        <v>5.61319156042693e-5</v>
      </c>
      <c r="AM83" s="32" t="str">
        <f t="shared" ref="AM83:AM146" si="112">IMSUB(COMPLEX(1,0),IMDIV(COMPLEX(0,2*PI()*O83),COMPLEX(wz2_dcm,0)))</f>
        <v>1-0,000627573895651255i</v>
      </c>
      <c r="AN83" s="32">
        <f t="shared" si="79"/>
        <v>1.00000019692448</v>
      </c>
      <c r="AO83" s="32">
        <f t="shared" si="80"/>
        <v>-0.000627573813261492</v>
      </c>
      <c r="AP83" s="30" t="str">
        <f t="shared" si="81"/>
        <v>75,2563031953024-4,00338793184329i</v>
      </c>
      <c r="AQ83" s="32">
        <f t="shared" si="82"/>
        <v>37.54313031453</v>
      </c>
      <c r="AR83" s="31">
        <f t="shared" si="83"/>
        <v>-3.04507686883949</v>
      </c>
      <c r="AS83" t="str">
        <f t="shared" ref="AS83:AS146" si="113">COMPLEX(Adc_ea,0)</f>
        <v>-0,000338461538461538</v>
      </c>
      <c r="AT83" t="str">
        <f t="shared" ref="AT83:AT146" si="114">COMPLEX(0,2*PI()*O83*wp0_ea)</f>
        <v>0,0000491305818225489i</v>
      </c>
      <c r="AU83">
        <f t="shared" si="84"/>
        <v>4.91305818225489e-5</v>
      </c>
      <c r="AV83">
        <f t="shared" si="85"/>
        <v>1.5707963267949</v>
      </c>
      <c r="AW83" t="str">
        <f t="shared" ref="AW83:AW146" si="115">IMSUM(COMPLEX(1,0),IMDIV(COMPLEX(0,2*PI()*O83),COMPLEX(wp1_ea,0)))</f>
        <v>1+0,00797371154912615i</v>
      </c>
      <c r="AX83">
        <f t="shared" si="86"/>
        <v>1.00003178953265</v>
      </c>
      <c r="AY83">
        <f t="shared" si="87"/>
        <v>0.00797354256584407</v>
      </c>
      <c r="AZ83" t="str">
        <f t="shared" ref="AZ83:AZ146" si="116">IMSUM(COMPLEX(1,0),IMDIV(COMPLEX(0,2*PI()*O83),COMPLEX(wz_ea,0)))</f>
        <v>1+0,069603575422396i</v>
      </c>
      <c r="BA83">
        <f t="shared" si="88"/>
        <v>1.00241940210252</v>
      </c>
      <c r="BB83">
        <f t="shared" si="89"/>
        <v>0.0694914991922393</v>
      </c>
      <c r="BC83" s="30" t="str">
        <f t="shared" si="90"/>
        <v>-0,424542344380277+6,89240472378019i</v>
      </c>
      <c r="BD83" s="32">
        <f t="shared" si="91"/>
        <v>16.7838615019012</v>
      </c>
      <c r="BE83" s="31">
        <f t="shared" si="92"/>
        <v>93.5247192789613</v>
      </c>
      <c r="BF83" s="30" t="str">
        <f t="shared" si="93"/>
        <v>2,60905694273468+103,204967601529i</v>
      </c>
      <c r="BG83" s="68">
        <f t="shared" si="94"/>
        <v>40.2767867078279</v>
      </c>
      <c r="BH83" s="31">
        <f t="shared" si="95"/>
        <v>88.551851511572</v>
      </c>
      <c r="BI83" s="30" t="str">
        <f t="shared" si="103"/>
        <v>-4,35651749536531+520,396507335585i</v>
      </c>
      <c r="BJ83" s="68">
        <f t="shared" si="97"/>
        <v>54.3269918164312</v>
      </c>
      <c r="BK83" s="31">
        <f t="shared" si="104"/>
        <v>90.4796424101218</v>
      </c>
      <c r="BL83" s="32">
        <f t="shared" si="99"/>
        <v>40.2767867078279</v>
      </c>
      <c r="BM83" s="31">
        <f t="shared" si="100"/>
        <v>88.551851511572</v>
      </c>
      <c r="BO83">
        <f t="shared" si="101"/>
        <v>0</v>
      </c>
      <c r="BP83">
        <f t="shared" si="102"/>
        <v>0</v>
      </c>
    </row>
    <row r="84" spans="14:68">
      <c r="N84" s="7">
        <v>66</v>
      </c>
      <c r="O84" s="18">
        <f t="shared" ref="O84:O118" si="117">10^(1+(N84/100))</f>
        <v>45.7088189614875</v>
      </c>
      <c r="P84" s="86" t="str">
        <f t="shared" si="105"/>
        <v>15</v>
      </c>
      <c r="Q84" s="4" t="str">
        <f t="shared" si="106"/>
        <v>1+0,0837657857479771i</v>
      </c>
      <c r="R84" s="4">
        <f t="shared" ref="R84:R147" si="118">IMABS(Q84)</f>
        <v>1.00350222065623</v>
      </c>
      <c r="S84" s="4">
        <f t="shared" ref="S84:S147" si="119">IMARGUMENT(Q84)</f>
        <v>0.0835706864764154</v>
      </c>
      <c r="T84" s="4" t="str">
        <f t="shared" si="107"/>
        <v>1+0,00005743939594147i</v>
      </c>
      <c r="U84" s="4">
        <f t="shared" ref="U84:U147" si="120">IMABS(T84)</f>
        <v>1.00000000164964</v>
      </c>
      <c r="V84" s="4">
        <f t="shared" ref="V84:V147" si="121">IMARGUMENT(T84)</f>
        <v>5.74393958783004e-5</v>
      </c>
      <c r="W84" t="str">
        <f t="shared" si="108"/>
        <v>1-0,00502594714487863i</v>
      </c>
      <c r="X84" s="4">
        <f t="shared" ref="X84:X147" si="122">IMABS(W84)</f>
        <v>1.00001262999259</v>
      </c>
      <c r="Y84" s="4">
        <f t="shared" ref="Y84:Y147" si="123">IMARGUMENT(W84)</f>
        <v>-0.00502590482680262</v>
      </c>
      <c r="Z84" t="str">
        <f t="shared" si="109"/>
        <v>0,999999985142783+0,000266682909728253i</v>
      </c>
      <c r="AA84" s="4">
        <f t="shared" ref="AA84:AA147" si="124">IMABS(Z84)</f>
        <v>1.00000002070267</v>
      </c>
      <c r="AB84" s="4">
        <f t="shared" ref="AB84:AB147" si="125">IMARGUMENT(Z84)</f>
        <v>0.000266682907368276</v>
      </c>
      <c r="AC84" s="67" t="str">
        <f t="shared" ref="AC84:AC147" si="126">(IMDIV(IMPRODUCT(P84,T84,W84),IMPRODUCT(Q84,Z84)))</f>
        <v>14,8889343755134-1,32571114359101i</v>
      </c>
      <c r="AD84" s="68">
        <f t="shared" ref="AD84:AD147" si="127">20*LOG(IMABS(AC84))</f>
        <v>23.4915679601003</v>
      </c>
      <c r="AE84" s="31">
        <f t="shared" ref="AE84:AE147" si="128">(180/PI())*IMARGUMENT(AC84)</f>
        <v>-5.08819953101875</v>
      </c>
      <c r="AF84" s="32" t="str">
        <f t="shared" ref="AF84:AF147" si="129">COMPLEX($B$68,0)</f>
        <v>75,4669735059805</v>
      </c>
      <c r="AG84" s="32" t="str">
        <f t="shared" si="110"/>
        <v>1+0,0538494336951282i</v>
      </c>
      <c r="AH84" s="32">
        <f t="shared" ref="AH84:AH147" si="130">IMABS(AG84)</f>
        <v>1.00144883119872</v>
      </c>
      <c r="AI84" s="32">
        <f t="shared" ref="AI84:AI147" si="131">IMARGUMENT(AG84)</f>
        <v>0.0537974738961194</v>
      </c>
      <c r="AJ84" s="32" t="str">
        <f t="shared" si="111"/>
        <v>1+0,00005743939594147i</v>
      </c>
      <c r="AK84" s="32">
        <f t="shared" ref="AK84:AK147" si="132">IMABS(AJ84)</f>
        <v>1.00000000164964</v>
      </c>
      <c r="AL84" s="32">
        <f t="shared" ref="AL84:AL147" si="133">IMARGUMENT(AJ84)</f>
        <v>5.74393958783004e-5</v>
      </c>
      <c r="AM84" s="32" t="str">
        <f t="shared" si="112"/>
        <v>1-0,000642191969558262i</v>
      </c>
      <c r="AN84" s="32">
        <f t="shared" ref="AN84:AN147" si="134">IMABS(AM84)</f>
        <v>1.00000020620524</v>
      </c>
      <c r="AO84" s="32">
        <f t="shared" ref="AO84:AO147" si="135">IMARGUMENT(AM84)</f>
        <v>-0.000642191881276041</v>
      </c>
      <c r="AP84" s="30" t="str">
        <f t="shared" ref="AP84:AP147" si="136">(IMDIV(IMPRODUCT(AF84,AJ84,AM84),IMPRODUCT(AG84)))</f>
        <v>75,2464033167295-4,09610571318179i</v>
      </c>
      <c r="AQ84" s="32">
        <f t="shared" ref="AQ84:AQ147" si="137">20*LOG(IMABS(AP84))</f>
        <v>37.5425651967878</v>
      </c>
      <c r="AR84" s="31">
        <f t="shared" ref="AR84:AR147" si="138">(180/PI())*IMARGUMENT(AP84)</f>
        <v>-3.11587205218593</v>
      </c>
      <c r="AS84" t="str">
        <f t="shared" si="113"/>
        <v>-0,000338461538461538</v>
      </c>
      <c r="AT84" t="str">
        <f t="shared" si="114"/>
        <v>0,0000502749800856905i</v>
      </c>
      <c r="AU84">
        <f t="shared" ref="AU84:AU147" si="139">IMABS(AT84)</f>
        <v>5.02749800856905e-5</v>
      </c>
      <c r="AV84">
        <f t="shared" ref="AV84:AV147" si="140">IMARGUMENT(AT84)</f>
        <v>1.5707963267949</v>
      </c>
      <c r="AW84" t="str">
        <f t="shared" si="115"/>
        <v>1+0,0081594431506889i</v>
      </c>
      <c r="AX84">
        <f t="shared" ref="AX84:AX147" si="141">IMABS(AW84)</f>
        <v>1.00003328770223</v>
      </c>
      <c r="AY84">
        <f t="shared" ref="AY84:AY147" si="142">IMARGUMENT(AW84)</f>
        <v>0.00815926208216541</v>
      </c>
      <c r="AZ84" t="str">
        <f t="shared" si="116"/>
        <v>1+0,0712248509674228i</v>
      </c>
      <c r="BA84">
        <f t="shared" ref="BA84:BA147" si="143">IMABS(AZ84)</f>
        <v>1.0025332809415</v>
      </c>
      <c r="BB84">
        <f t="shared" ref="BB84:BB147" si="144">IMARGUMENT(AZ84)</f>
        <v>0.0711047755064798</v>
      </c>
      <c r="BC84" s="30" t="str">
        <f t="shared" ref="BC84:BC147" si="145">IMPRODUCT(AS84,IMDIV(AZ84,IMPRODUCT(AT84,AW84)))</f>
        <v>-0,424541072350722+6,73567033458344i</v>
      </c>
      <c r="BD84" s="32">
        <f t="shared" ref="BD84:BD147" si="146">20*LOG(IMABS(BC84))</f>
        <v>16.5848351850221</v>
      </c>
      <c r="BE84" s="31">
        <f t="shared" ref="BE84:BE147" si="147">(180/PI())*IMARGUMENT(BC84)</f>
        <v>93.6065122584973</v>
      </c>
      <c r="BF84" s="30" t="str">
        <f t="shared" ref="BF84:BF147" si="148">IMPRODUCT(AC84,BC84)</f>
        <v>2,60858905617267+100,849772417233i</v>
      </c>
      <c r="BG84" s="68">
        <f t="shared" ref="BG84:BG147" si="149">20*LOG(IMABS(BF84))</f>
        <v>40.0764031451224</v>
      </c>
      <c r="BH84" s="31">
        <f t="shared" ref="BH84:BH147" si="150">(180/PI())*IMARGUMENT(BF84)</f>
        <v>88.5183127274785</v>
      </c>
      <c r="BI84" s="30" t="str">
        <f t="shared" si="103"/>
        <v>-4,35517101502294+508,573931716532i</v>
      </c>
      <c r="BJ84" s="68">
        <f t="shared" ref="BJ84:BJ147" si="151">20*LOG(IMABS(BI84))</f>
        <v>54.1274003818099</v>
      </c>
      <c r="BK84" s="31">
        <f t="shared" si="104"/>
        <v>90.4906402063114</v>
      </c>
      <c r="BL84" s="32">
        <f t="shared" ref="BL84:BL147" si="152">IF($B$31=0,BJ84,BG84)</f>
        <v>40.0764031451224</v>
      </c>
      <c r="BM84" s="31">
        <f t="shared" ref="BM84:BM147" si="153">IF($B$31=0,BK84,BH84)</f>
        <v>88.5183127274785</v>
      </c>
      <c r="BO84">
        <f t="shared" ref="BO84:BO147" si="154">SUM((BL85&lt;0)*(BL84&gt;0))*O84</f>
        <v>0</v>
      </c>
      <c r="BP84">
        <f t="shared" ref="BP84:BP147" si="155">IF(BO84&gt;0,BM84,0)</f>
        <v>0</v>
      </c>
    </row>
    <row r="85" spans="14:68">
      <c r="N85" s="7">
        <v>67</v>
      </c>
      <c r="O85" s="18">
        <f t="shared" si="117"/>
        <v>46.7735141287198</v>
      </c>
      <c r="P85" s="86" t="str">
        <f t="shared" si="105"/>
        <v>15</v>
      </c>
      <c r="Q85" s="4" t="str">
        <f t="shared" si="106"/>
        <v>1+0,0857169415487959i</v>
      </c>
      <c r="R85" s="4">
        <f t="shared" si="118"/>
        <v>1.00366697368623</v>
      </c>
      <c r="S85" s="4">
        <f t="shared" si="119"/>
        <v>0.0855079301421753</v>
      </c>
      <c r="T85" s="4" t="str">
        <f t="shared" si="107"/>
        <v>1+0,0000587773313477458i</v>
      </c>
      <c r="U85" s="4">
        <f t="shared" si="120"/>
        <v>1.00000000172739</v>
      </c>
      <c r="V85" s="4">
        <f t="shared" si="121"/>
        <v>5.87773312800583e-5</v>
      </c>
      <c r="W85" t="str">
        <f t="shared" si="108"/>
        <v>1-0,00514301649292776i</v>
      </c>
      <c r="X85" s="4">
        <f t="shared" si="122"/>
        <v>1.00001322522187</v>
      </c>
      <c r="Y85" s="4">
        <f t="shared" si="123"/>
        <v>-0.00514297114832474</v>
      </c>
      <c r="Z85" t="str">
        <f t="shared" si="109"/>
        <v>0,999999984442584+0,000272894752685962i</v>
      </c>
      <c r="AA85" s="4">
        <f t="shared" si="124"/>
        <v>1.00000002167836</v>
      </c>
      <c r="AB85" s="4">
        <f t="shared" si="125"/>
        <v>0.000272894750157201</v>
      </c>
      <c r="AC85" s="67" t="str">
        <f t="shared" si="126"/>
        <v>14,883738192312-1,35614552193891i</v>
      </c>
      <c r="AD85" s="68">
        <f t="shared" si="127"/>
        <v>23.4901472070225</v>
      </c>
      <c r="AE85" s="31">
        <f t="shared" si="128"/>
        <v>-5.20618207742457</v>
      </c>
      <c r="AF85" s="32" t="str">
        <f t="shared" si="129"/>
        <v>75,4669735059805</v>
      </c>
      <c r="AG85" s="32" t="str">
        <f t="shared" si="110"/>
        <v>1+0,0551037481385117i</v>
      </c>
      <c r="AH85" s="32">
        <f t="shared" si="130"/>
        <v>1.00151706079273</v>
      </c>
      <c r="AI85" s="32">
        <f t="shared" si="131"/>
        <v>0.0550480767646489</v>
      </c>
      <c r="AJ85" s="32" t="str">
        <f t="shared" si="111"/>
        <v>1+0,0000587773313477458i</v>
      </c>
      <c r="AK85" s="32">
        <f t="shared" si="132"/>
        <v>1.00000000172739</v>
      </c>
      <c r="AL85" s="32">
        <f t="shared" si="133"/>
        <v>5.87773312800583e-5</v>
      </c>
      <c r="AM85" s="32" t="str">
        <f t="shared" si="112"/>
        <v>1-0,000657150542147945i</v>
      </c>
      <c r="AN85" s="32">
        <f t="shared" si="134"/>
        <v>1.00000021592339</v>
      </c>
      <c r="AO85" s="32">
        <f t="shared" si="135"/>
        <v>-0.000657150447551842</v>
      </c>
      <c r="AP85" s="30" t="str">
        <f t="shared" si="136"/>
        <v>75,2360396324966-4,19094519409433i</v>
      </c>
      <c r="AQ85" s="32">
        <f t="shared" si="137"/>
        <v>37.5419735246939</v>
      </c>
      <c r="AR85" s="31">
        <f t="shared" si="138"/>
        <v>-3.18830672306302</v>
      </c>
      <c r="AS85" t="str">
        <f t="shared" si="113"/>
        <v>-0,000338461538461538</v>
      </c>
      <c r="AT85" t="str">
        <f t="shared" si="114"/>
        <v>0,0000514460348087415i</v>
      </c>
      <c r="AU85">
        <f t="shared" si="139"/>
        <v>5.14460348087415e-5</v>
      </c>
      <c r="AV85">
        <f t="shared" si="140"/>
        <v>1.5707963267949</v>
      </c>
      <c r="AW85" t="str">
        <f t="shared" si="115"/>
        <v>1+0,00834950099701315i</v>
      </c>
      <c r="AX85">
        <f t="shared" si="141"/>
        <v>1.00003485647596</v>
      </c>
      <c r="AY85">
        <f t="shared" si="142"/>
        <v>0.00834930697895989</v>
      </c>
      <c r="AZ85" t="str">
        <f t="shared" si="116"/>
        <v>1+0,0728838908712048i</v>
      </c>
      <c r="BA85">
        <f t="shared" si="143"/>
        <v>1.00265251286202</v>
      </c>
      <c r="BB85">
        <f t="shared" si="144"/>
        <v>0.0727552460730076</v>
      </c>
      <c r="BC85" s="30" t="str">
        <f t="shared" si="145"/>
        <v>-0,424539740380427+6,58250728597673i</v>
      </c>
      <c r="BD85" s="32">
        <f t="shared" si="146"/>
        <v>16.3858545162442</v>
      </c>
      <c r="BE85" s="31">
        <f t="shared" si="147"/>
        <v>93.6901884856656</v>
      </c>
      <c r="BF85" s="30" t="str">
        <f t="shared" si="148"/>
        <v>2,60809943095321+98,5480527612659i</v>
      </c>
      <c r="BG85" s="68">
        <f t="shared" si="149"/>
        <v>39.8760017232666</v>
      </c>
      <c r="BH85" s="31">
        <f t="shared" si="150"/>
        <v>88.484006408241</v>
      </c>
      <c r="BI85" s="30" t="str">
        <f t="shared" si="103"/>
        <v>-4,35376145757654+497,021001833592i</v>
      </c>
      <c r="BJ85" s="68">
        <f t="shared" si="151"/>
        <v>53.9278280409381</v>
      </c>
      <c r="BK85" s="31">
        <f t="shared" si="104"/>
        <v>90.5018817626025</v>
      </c>
      <c r="BL85" s="32">
        <f t="shared" si="152"/>
        <v>39.8760017232666</v>
      </c>
      <c r="BM85" s="31">
        <f t="shared" si="153"/>
        <v>88.484006408241</v>
      </c>
      <c r="BO85">
        <f t="shared" si="154"/>
        <v>0</v>
      </c>
      <c r="BP85">
        <f t="shared" si="155"/>
        <v>0</v>
      </c>
    </row>
    <row r="86" spans="14:68">
      <c r="N86" s="7">
        <v>68</v>
      </c>
      <c r="O86" s="18">
        <f t="shared" si="117"/>
        <v>47.8630092322639</v>
      </c>
      <c r="P86" s="86" t="str">
        <f t="shared" si="105"/>
        <v>15</v>
      </c>
      <c r="Q86" s="4" t="str">
        <f t="shared" si="106"/>
        <v>1+0,0877135456066219i</v>
      </c>
      <c r="R86" s="4">
        <f t="shared" si="118"/>
        <v>1.00383946230604</v>
      </c>
      <c r="S86" s="4">
        <f t="shared" si="119"/>
        <v>0.087489632087228</v>
      </c>
      <c r="T86" s="4" t="str">
        <f t="shared" si="107"/>
        <v>1+0,0000601464312731122i</v>
      </c>
      <c r="U86" s="4">
        <f t="shared" si="120"/>
        <v>1.0000000018088</v>
      </c>
      <c r="V86" s="4">
        <f t="shared" si="121"/>
        <v>6.01464312005838e-5</v>
      </c>
      <c r="W86" t="str">
        <f t="shared" si="108"/>
        <v>1-0,00526281273639732i</v>
      </c>
      <c r="X86" s="4">
        <f t="shared" si="122"/>
        <v>1.00001384850306</v>
      </c>
      <c r="Y86" s="4">
        <f t="shared" si="123"/>
        <v>-0.00526276414881614</v>
      </c>
      <c r="Z86" t="str">
        <f t="shared" si="109"/>
        <v>0,999999983709386+0,000279251288053734i</v>
      </c>
      <c r="AA86" s="4">
        <f t="shared" si="124"/>
        <v>1.00000002270003</v>
      </c>
      <c r="AB86" s="4">
        <f t="shared" si="125"/>
        <v>0.000279251285344118</v>
      </c>
      <c r="AC86" s="67" t="str">
        <f t="shared" si="126"/>
        <v>14,8783007758034-1,38725727386654i</v>
      </c>
      <c r="AD86" s="68">
        <f t="shared" si="127"/>
        <v>23.4886599975241</v>
      </c>
      <c r="AE86" s="31">
        <f t="shared" si="128"/>
        <v>-5.32687462746369</v>
      </c>
      <c r="AF86" s="32" t="str">
        <f t="shared" si="129"/>
        <v>75,4669735059805</v>
      </c>
      <c r="AG86" s="32" t="str">
        <f t="shared" si="110"/>
        <v>1+0,0563872793185427i</v>
      </c>
      <c r="AH86" s="32">
        <f t="shared" si="130"/>
        <v>1.00158850096681</v>
      </c>
      <c r="AI86" s="32">
        <f t="shared" si="131"/>
        <v>0.0563276314752092</v>
      </c>
      <c r="AJ86" s="32" t="str">
        <f t="shared" si="111"/>
        <v>1+0,0000601464312731122i</v>
      </c>
      <c r="AK86" s="32">
        <f t="shared" si="132"/>
        <v>1.0000000018088</v>
      </c>
      <c r="AL86" s="32">
        <f t="shared" si="133"/>
        <v>6.01464312005838e-5</v>
      </c>
      <c r="AM86" s="32" t="str">
        <f t="shared" si="112"/>
        <v>1-0,00067245754465349i</v>
      </c>
      <c r="AN86" s="32">
        <f t="shared" si="134"/>
        <v>1.00000022609955</v>
      </c>
      <c r="AO86" s="32">
        <f t="shared" si="135"/>
        <v>-0.000672457443291941</v>
      </c>
      <c r="AP86" s="30" t="str">
        <f t="shared" si="136"/>
        <v>75,2251905492778-4,28795309786362i</v>
      </c>
      <c r="AQ86" s="32">
        <f t="shared" si="137"/>
        <v>37.541354054362</v>
      </c>
      <c r="AR86" s="31">
        <f t="shared" si="138"/>
        <v>-3.26241839023996</v>
      </c>
      <c r="AS86" t="str">
        <f t="shared" si="113"/>
        <v>-0,000338461538461538</v>
      </c>
      <c r="AT86" t="str">
        <f t="shared" si="114"/>
        <v>0,000052644366900417i</v>
      </c>
      <c r="AU86">
        <f t="shared" si="139"/>
        <v>5.2644366900417e-5</v>
      </c>
      <c r="AV86">
        <f t="shared" si="140"/>
        <v>1.5707963267949</v>
      </c>
      <c r="AW86" t="str">
        <f t="shared" si="115"/>
        <v>1+0,00854398585928473i</v>
      </c>
      <c r="AX86">
        <f t="shared" si="141"/>
        <v>1.00003649918109</v>
      </c>
      <c r="AY86">
        <f t="shared" si="142"/>
        <v>0.0085437779656049</v>
      </c>
      <c r="AZ86" t="str">
        <f t="shared" si="116"/>
        <v>1+0,0745815747786591i</v>
      </c>
      <c r="BA86">
        <f t="shared" si="143"/>
        <v>1.00277734881501</v>
      </c>
      <c r="BB86">
        <f t="shared" si="144"/>
        <v>0.0744437500052348</v>
      </c>
      <c r="BC86" s="30" t="str">
        <f t="shared" si="145"/>
        <v>-0,424538345645266+6,43283436881434i</v>
      </c>
      <c r="BD86" s="32">
        <f t="shared" si="146"/>
        <v>16.1869216238502</v>
      </c>
      <c r="BE86" s="31">
        <f t="shared" si="147"/>
        <v>93.7757902679009</v>
      </c>
      <c r="BF86" s="30" t="str">
        <f t="shared" si="148"/>
        <v>2,60758707234411+96,2985884881768i</v>
      </c>
      <c r="BG86" s="68">
        <f t="shared" si="149"/>
        <v>39.6755816213743</v>
      </c>
      <c r="BH86" s="31">
        <f t="shared" si="150"/>
        <v>88.4489156404372</v>
      </c>
      <c r="BI86" s="30" t="str">
        <f t="shared" si="103"/>
        <v>-4,35228588683928+485,731591680373i</v>
      </c>
      <c r="BJ86" s="68">
        <f t="shared" si="151"/>
        <v>53.7282756782121</v>
      </c>
      <c r="BK86" s="31">
        <f t="shared" si="104"/>
        <v>90.513371877661</v>
      </c>
      <c r="BL86" s="32">
        <f t="shared" si="152"/>
        <v>39.6755816213743</v>
      </c>
      <c r="BM86" s="31">
        <f t="shared" si="153"/>
        <v>88.4489156404372</v>
      </c>
      <c r="BO86">
        <f t="shared" si="154"/>
        <v>0</v>
      </c>
      <c r="BP86">
        <f t="shared" si="155"/>
        <v>0</v>
      </c>
    </row>
    <row r="87" spans="14:68">
      <c r="N87" s="7">
        <v>69</v>
      </c>
      <c r="O87" s="18">
        <f t="shared" si="117"/>
        <v>48.9778819368446</v>
      </c>
      <c r="P87" s="86" t="str">
        <f t="shared" si="105"/>
        <v>15</v>
      </c>
      <c r="Q87" s="4" t="str">
        <f t="shared" si="106"/>
        <v>1+0,0897566565473547i</v>
      </c>
      <c r="R87" s="4">
        <f t="shared" si="118"/>
        <v>1.0040200483031</v>
      </c>
      <c r="S87" s="4">
        <f t="shared" si="119"/>
        <v>0.0895167807422221</v>
      </c>
      <c r="T87" s="4" t="str">
        <f t="shared" si="107"/>
        <v>1+0,0000615474216324718i</v>
      </c>
      <c r="U87" s="4">
        <f t="shared" si="120"/>
        <v>1.00000000189404</v>
      </c>
      <c r="V87" s="4">
        <f t="shared" si="121"/>
        <v>6.15474215547562e-5</v>
      </c>
      <c r="W87" t="str">
        <f t="shared" si="108"/>
        <v>1-0,00538539939284129i</v>
      </c>
      <c r="X87" s="4">
        <f t="shared" si="122"/>
        <v>1.00001450115817</v>
      </c>
      <c r="Y87" s="4">
        <f t="shared" si="123"/>
        <v>-0.00538534733035084</v>
      </c>
      <c r="Z87" t="str">
        <f t="shared" si="109"/>
        <v>0,999999982941633+0,000285755886150761i</v>
      </c>
      <c r="AA87" s="4">
        <f t="shared" si="124"/>
        <v>1.00000002376985</v>
      </c>
      <c r="AB87" s="4">
        <f t="shared" si="125"/>
        <v>0.000285755883247355</v>
      </c>
      <c r="AC87" s="67" t="str">
        <f t="shared" si="126"/>
        <v>14,8726111055322-1,41905996088033i</v>
      </c>
      <c r="AD87" s="68">
        <f t="shared" si="127"/>
        <v>23.4871032476268</v>
      </c>
      <c r="AE87" s="31">
        <f t="shared" si="128"/>
        <v>-5.45033760395454</v>
      </c>
      <c r="AF87" s="32" t="str">
        <f t="shared" si="129"/>
        <v>75,4669735059805</v>
      </c>
      <c r="AG87" s="32" t="str">
        <f t="shared" si="110"/>
        <v>1+0,0577007077804424i</v>
      </c>
      <c r="AH87" s="32">
        <f t="shared" si="130"/>
        <v>1.00166330255149</v>
      </c>
      <c r="AI87" s="32">
        <f t="shared" si="131"/>
        <v>0.057636799695441</v>
      </c>
      <c r="AJ87" s="32" t="str">
        <f t="shared" si="111"/>
        <v>1+0,0000615474216324718i</v>
      </c>
      <c r="AK87" s="32">
        <f t="shared" si="132"/>
        <v>1.00000000189404</v>
      </c>
      <c r="AL87" s="32">
        <f t="shared" si="133"/>
        <v>6.15474215547562e-5</v>
      </c>
      <c r="AM87" s="32" t="str">
        <f t="shared" si="112"/>
        <v>1-0,00068812109305024i</v>
      </c>
      <c r="AN87" s="32">
        <f t="shared" si="134"/>
        <v>1.00000023675529</v>
      </c>
      <c r="AO87" s="32">
        <f t="shared" si="135"/>
        <v>-0.000688120984439385</v>
      </c>
      <c r="AP87" s="30" t="str">
        <f t="shared" si="136"/>
        <v>75,2138334814847-4,38717704542244i</v>
      </c>
      <c r="AQ87" s="32">
        <f t="shared" si="137"/>
        <v>37.5407054840107</v>
      </c>
      <c r="AR87" s="31">
        <f t="shared" si="138"/>
        <v>-3.33824538789745</v>
      </c>
      <c r="AS87" t="str">
        <f t="shared" si="113"/>
        <v>-0,000338461538461538</v>
      </c>
      <c r="AT87" t="str">
        <f t="shared" si="114"/>
        <v>0,0000538706117322535i</v>
      </c>
      <c r="AU87">
        <f t="shared" si="139"/>
        <v>5.38706117322535e-5</v>
      </c>
      <c r="AV87">
        <f t="shared" si="140"/>
        <v>1.5707963267949</v>
      </c>
      <c r="AW87" t="str">
        <f t="shared" si="115"/>
        <v>1+0,00874300085595193i</v>
      </c>
      <c r="AX87">
        <f t="shared" si="141"/>
        <v>1.00003821930163</v>
      </c>
      <c r="AY87">
        <f t="shared" si="142"/>
        <v>0.00874277809432036</v>
      </c>
      <c r="AZ87" t="str">
        <f t="shared" si="116"/>
        <v>1+0,076318802824265i</v>
      </c>
      <c r="BA87">
        <f t="shared" si="143"/>
        <v>1.00290805145064</v>
      </c>
      <c r="BB87">
        <f t="shared" si="144"/>
        <v>0.076171144036708</v>
      </c>
      <c r="BC87" s="30" t="str">
        <f t="shared" si="145"/>
        <v>-0,424536885188084+6,28657222445948i</v>
      </c>
      <c r="BD87" s="32">
        <f t="shared" si="146"/>
        <v>15.9880387342209</v>
      </c>
      <c r="BE87" s="31">
        <f t="shared" si="147"/>
        <v>93.8633607879625</v>
      </c>
      <c r="BF87" s="30" t="str">
        <f t="shared" si="148"/>
        <v>2,60705094155649+94,1001871769136i</v>
      </c>
      <c r="BG87" s="68">
        <f t="shared" si="149"/>
        <v>39.4751419818477</v>
      </c>
      <c r="BH87" s="31">
        <f t="shared" si="150"/>
        <v>88.4130231840079</v>
      </c>
      <c r="BI87" s="30" t="str">
        <f t="shared" si="103"/>
        <v>-4,35074123174582+474,699714937454i</v>
      </c>
      <c r="BJ87" s="68">
        <f t="shared" si="151"/>
        <v>53.5287442182316</v>
      </c>
      <c r="BK87" s="31">
        <f t="shared" si="104"/>
        <v>90.525115400065</v>
      </c>
      <c r="BL87" s="32">
        <f t="shared" si="152"/>
        <v>39.4751419818477</v>
      </c>
      <c r="BM87" s="31">
        <f t="shared" si="153"/>
        <v>88.4130231840079</v>
      </c>
      <c r="BO87">
        <f t="shared" si="154"/>
        <v>0</v>
      </c>
      <c r="BP87">
        <f t="shared" si="155"/>
        <v>0</v>
      </c>
    </row>
    <row r="88" spans="14:68">
      <c r="N88" s="7">
        <v>70</v>
      </c>
      <c r="O88" s="18">
        <f t="shared" si="117"/>
        <v>50.1187233627272</v>
      </c>
      <c r="P88" s="86" t="str">
        <f t="shared" si="105"/>
        <v>15</v>
      </c>
      <c r="Q88" s="4" t="str">
        <f t="shared" si="106"/>
        <v>1+0,0918473576554584i</v>
      </c>
      <c r="R88" s="4">
        <f t="shared" si="118"/>
        <v>1.0042091102496</v>
      </c>
      <c r="S88" s="4">
        <f t="shared" si="119"/>
        <v>0.0915903842494817</v>
      </c>
      <c r="T88" s="4" t="str">
        <f t="shared" si="107"/>
        <v>1+0,0000629810452494572i</v>
      </c>
      <c r="U88" s="4">
        <f t="shared" si="120"/>
        <v>1.00000000198331</v>
      </c>
      <c r="V88" s="4">
        <f t="shared" si="121"/>
        <v>6.29810451661834e-5</v>
      </c>
      <c r="W88" t="str">
        <f t="shared" si="108"/>
        <v>1-0,00551084145932751i</v>
      </c>
      <c r="X88" s="4">
        <f t="shared" si="122"/>
        <v>1.00001518457151</v>
      </c>
      <c r="Y88" s="4">
        <f t="shared" si="123"/>
        <v>-0.00551078567340966</v>
      </c>
      <c r="Z88" t="str">
        <f t="shared" si="109"/>
        <v>0,999999982137696+0,00029241199580105i</v>
      </c>
      <c r="AA88" s="4">
        <f t="shared" si="124"/>
        <v>1.00000002489008</v>
      </c>
      <c r="AB88" s="4">
        <f t="shared" si="125"/>
        <v>0.000292411992689995</v>
      </c>
      <c r="AC88" s="67" t="str">
        <f t="shared" si="126"/>
        <v>14,8666576746838-1,45156730651254i</v>
      </c>
      <c r="AD88" s="68">
        <f t="shared" si="127"/>
        <v>23.4854737325857</v>
      </c>
      <c r="AE88" s="31">
        <f t="shared" si="128"/>
        <v>-5.57663264734714</v>
      </c>
      <c r="AF88" s="32" t="str">
        <f t="shared" si="129"/>
        <v>75,4669735059805</v>
      </c>
      <c r="AG88" s="32" t="str">
        <f t="shared" si="110"/>
        <v>1+0,0590447299213662i</v>
      </c>
      <c r="AH88" s="32">
        <f t="shared" si="130"/>
        <v>1.00174162343964</v>
      </c>
      <c r="AI88" s="32">
        <f t="shared" si="131"/>
        <v>0.0589762576030128</v>
      </c>
      <c r="AJ88" s="32" t="str">
        <f t="shared" si="111"/>
        <v>1+0,0000629810452494572i</v>
      </c>
      <c r="AK88" s="32">
        <f t="shared" si="132"/>
        <v>1.00000000198331</v>
      </c>
      <c r="AL88" s="32">
        <f t="shared" si="133"/>
        <v>6.29810451661834e-5</v>
      </c>
      <c r="AM88" s="32" t="str">
        <f t="shared" si="112"/>
        <v>1-0,000704149492358882i</v>
      </c>
      <c r="AN88" s="32">
        <f t="shared" si="134"/>
        <v>1.00000024791322</v>
      </c>
      <c r="AO88" s="32">
        <f t="shared" si="135"/>
        <v>-0.000704149375980255</v>
      </c>
      <c r="AP88" s="30" t="str">
        <f t="shared" si="136"/>
        <v>75,2019448069266-4,48866556289735i</v>
      </c>
      <c r="AQ88" s="32">
        <f t="shared" si="137"/>
        <v>37.5400264513058</v>
      </c>
      <c r="AR88" s="31">
        <f t="shared" si="138"/>
        <v>-3.41582689144206</v>
      </c>
      <c r="AS88" t="str">
        <f t="shared" si="113"/>
        <v>-0,000338461538461538</v>
      </c>
      <c r="AT88" t="str">
        <f t="shared" si="114"/>
        <v>0,0000551254194754924i</v>
      </c>
      <c r="AU88">
        <f t="shared" si="139"/>
        <v>5.51254194754924e-5</v>
      </c>
      <c r="AV88">
        <f t="shared" si="140"/>
        <v>1.5707963267949</v>
      </c>
      <c r="AW88" t="str">
        <f t="shared" si="115"/>
        <v>1+0,00894665150740023i</v>
      </c>
      <c r="AX88">
        <f t="shared" si="141"/>
        <v>1.00004002048578</v>
      </c>
      <c r="AY88">
        <f t="shared" si="142"/>
        <v>0.00894641281452744</v>
      </c>
      <c r="AZ88" t="str">
        <f t="shared" si="116"/>
        <v>1+0,0780964961093269i</v>
      </c>
      <c r="BA88">
        <f t="shared" si="143"/>
        <v>1.00304489565749</v>
      </c>
      <c r="BB88">
        <f t="shared" si="144"/>
        <v>0.0779383027967012</v>
      </c>
      <c r="BC88" s="30" t="str">
        <f t="shared" si="145"/>
        <v>-0,424535355912444+6,14364330270693i</v>
      </c>
      <c r="BD88" s="32">
        <f t="shared" si="146"/>
        <v>15.7892081762483</v>
      </c>
      <c r="BE88" s="31">
        <f t="shared" si="147"/>
        <v>93.9529441166094</v>
      </c>
      <c r="BF88" s="30" t="str">
        <f t="shared" si="148"/>
        <v>2,60648995393375+91,9516834998089i</v>
      </c>
      <c r="BG88" s="68">
        <f t="shared" si="149"/>
        <v>39.274681908834</v>
      </c>
      <c r="BH88" s="31">
        <f t="shared" si="150"/>
        <v>88.3763114692623</v>
      </c>
      <c r="BI88" s="30" t="str">
        <f t="shared" si="103"/>
        <v>-4,34912428033102+463,919521795927i</v>
      </c>
      <c r="BJ88" s="68">
        <f t="shared" si="151"/>
        <v>53.3292346275541</v>
      </c>
      <c r="BK88" s="31">
        <f t="shared" si="104"/>
        <v>90.5371172251674</v>
      </c>
      <c r="BL88" s="32">
        <f t="shared" si="152"/>
        <v>39.274681908834</v>
      </c>
      <c r="BM88" s="31">
        <f t="shared" si="153"/>
        <v>88.3763114692623</v>
      </c>
      <c r="BO88">
        <f t="shared" si="154"/>
        <v>0</v>
      </c>
      <c r="BP88">
        <f t="shared" si="155"/>
        <v>0</v>
      </c>
    </row>
    <row r="89" spans="14:68">
      <c r="N89" s="7">
        <v>71</v>
      </c>
      <c r="O89" s="18">
        <f t="shared" si="117"/>
        <v>51.2861383991365</v>
      </c>
      <c r="P89" s="86" t="str">
        <f t="shared" si="105"/>
        <v>15</v>
      </c>
      <c r="Q89" s="4" t="str">
        <f t="shared" si="106"/>
        <v>1+0,0939867574483346i</v>
      </c>
      <c r="R89" s="4">
        <f t="shared" si="118"/>
        <v>1.00440704426823</v>
      </c>
      <c r="S89" s="4">
        <f t="shared" si="119"/>
        <v>0.0937114706924249</v>
      </c>
      <c r="T89" s="4" t="str">
        <f t="shared" si="107"/>
        <v>1+0,0000644480622502866i</v>
      </c>
      <c r="U89" s="4">
        <f t="shared" si="120"/>
        <v>1.00000000207678</v>
      </c>
      <c r="V89" s="4">
        <f t="shared" si="121"/>
        <v>6.44480621610571e-5</v>
      </c>
      <c r="W89" t="str">
        <f t="shared" si="108"/>
        <v>1-0,00563920544690008i</v>
      </c>
      <c r="X89" s="4">
        <f t="shared" si="122"/>
        <v>1.00001590019263</v>
      </c>
      <c r="Y89" s="4">
        <f t="shared" si="123"/>
        <v>-0.00563914567126347</v>
      </c>
      <c r="Z89" t="str">
        <f t="shared" si="109"/>
        <v>0,999999981295872+0,000299223146162044i</v>
      </c>
      <c r="AA89" s="4">
        <f t="shared" si="124"/>
        <v>1.00000002606312</v>
      </c>
      <c r="AB89" s="4">
        <f t="shared" si="125"/>
        <v>0.000299223142828488</v>
      </c>
      <c r="AC89" s="67" t="str">
        <f t="shared" si="126"/>
        <v>14,8604284702604-1,4847931896492i</v>
      </c>
      <c r="AD89" s="68">
        <f t="shared" si="127"/>
        <v>23.4837680806887</v>
      </c>
      <c r="AE89" s="31">
        <f t="shared" si="128"/>
        <v>-5.70582263091979</v>
      </c>
      <c r="AF89" s="32" t="str">
        <f t="shared" si="129"/>
        <v>75,4669735059805</v>
      </c>
      <c r="AG89" s="32" t="str">
        <f t="shared" si="110"/>
        <v>1+0,0604200583596437i</v>
      </c>
      <c r="AH89" s="32">
        <f t="shared" si="130"/>
        <v>1.00182362891488</v>
      </c>
      <c r="AI89" s="32">
        <f t="shared" si="131"/>
        <v>0.0603466961598845</v>
      </c>
      <c r="AJ89" s="32" t="str">
        <f t="shared" si="111"/>
        <v>1+0,0000644480622502866i</v>
      </c>
      <c r="AK89" s="32">
        <f t="shared" si="132"/>
        <v>1.00000000207678</v>
      </c>
      <c r="AL89" s="32">
        <f t="shared" si="133"/>
        <v>6.44480621610571e-5</v>
      </c>
      <c r="AM89" s="32" t="str">
        <f t="shared" si="112"/>
        <v>1-0,000720551241048894i</v>
      </c>
      <c r="AN89" s="32">
        <f t="shared" si="134"/>
        <v>1.00000025959701</v>
      </c>
      <c r="AO89" s="32">
        <f t="shared" si="135"/>
        <v>-0.000720551116346951</v>
      </c>
      <c r="AP89" s="30" t="str">
        <f t="shared" si="136"/>
        <v>75,1894998206094-4,59246808840523i</v>
      </c>
      <c r="AQ89" s="32">
        <f t="shared" si="137"/>
        <v>37.539315530582</v>
      </c>
      <c r="AR89" s="31">
        <f t="shared" si="138"/>
        <v>-3.49520293345021</v>
      </c>
      <c r="AS89" t="str">
        <f t="shared" si="113"/>
        <v>-0,000338461538461538</v>
      </c>
      <c r="AT89" t="str">
        <f t="shared" si="114"/>
        <v>0,0000564094554458084i</v>
      </c>
      <c r="AU89">
        <f t="shared" si="139"/>
        <v>5.64094554458084e-5</v>
      </c>
      <c r="AV89">
        <f t="shared" si="140"/>
        <v>1.5707963267949</v>
      </c>
      <c r="AW89" t="str">
        <f t="shared" si="115"/>
        <v>1+0,0091550457919007i</v>
      </c>
      <c r="AX89">
        <f t="shared" si="141"/>
        <v>1.00004190655365</v>
      </c>
      <c r="AY89">
        <f t="shared" si="142"/>
        <v>0.00915479002845833</v>
      </c>
      <c r="AZ89" t="str">
        <f t="shared" si="116"/>
        <v>1+0,0799155971903554i</v>
      </c>
      <c r="BA89">
        <f t="shared" si="143"/>
        <v>1.00318816912596</v>
      </c>
      <c r="BB89">
        <f t="shared" si="144"/>
        <v>0.0797461190829318</v>
      </c>
      <c r="BC89" s="30" t="str">
        <f t="shared" si="145"/>
        <v>-0,424533754576072+6,00397182066429i</v>
      </c>
      <c r="BD89" s="32">
        <f t="shared" si="146"/>
        <v>15.5904323859365</v>
      </c>
      <c r="BE89" s="31">
        <f t="shared" si="147"/>
        <v>94.0445852250405</v>
      </c>
      <c r="BF89" s="30" t="str">
        <f t="shared" si="148"/>
        <v>2,60590297707924+89,8519386060115i</v>
      </c>
      <c r="BG89" s="68">
        <f t="shared" si="149"/>
        <v>39.0742004666253</v>
      </c>
      <c r="BH89" s="31">
        <f t="shared" si="150"/>
        <v>88.3387625941208</v>
      </c>
      <c r="BI89" s="30" t="str">
        <f t="shared" si="103"/>
        <v>-4,3474316734552+453,385295853123i</v>
      </c>
      <c r="BJ89" s="68">
        <f t="shared" si="151"/>
        <v>53.1297479165185</v>
      </c>
      <c r="BK89" s="31">
        <f t="shared" si="104"/>
        <v>90.5493822915903</v>
      </c>
      <c r="BL89" s="32">
        <f t="shared" si="152"/>
        <v>39.0742004666253</v>
      </c>
      <c r="BM89" s="31">
        <f t="shared" si="153"/>
        <v>88.3387625941208</v>
      </c>
      <c r="BO89">
        <f t="shared" si="154"/>
        <v>0</v>
      </c>
      <c r="BP89">
        <f t="shared" si="155"/>
        <v>0</v>
      </c>
    </row>
    <row r="90" spans="14:68">
      <c r="N90" s="7">
        <v>72</v>
      </c>
      <c r="O90" s="18">
        <f t="shared" si="117"/>
        <v>52.4807460249773</v>
      </c>
      <c r="P90" s="86" t="str">
        <f t="shared" si="105"/>
        <v>15</v>
      </c>
      <c r="Q90" s="4" t="str">
        <f t="shared" si="106"/>
        <v>1+0,0961759902640719i</v>
      </c>
      <c r="R90" s="4">
        <f t="shared" si="118"/>
        <v>1.00461426483167</v>
      </c>
      <c r="S90" s="4">
        <f t="shared" si="119"/>
        <v>0.0958810883147457</v>
      </c>
      <c r="T90" s="4" t="str">
        <f t="shared" si="107"/>
        <v>1+0,0000659492504667922i</v>
      </c>
      <c r="U90" s="4">
        <f t="shared" si="120"/>
        <v>1.00000000217465</v>
      </c>
      <c r="V90" s="4">
        <f t="shared" si="121"/>
        <v>6.59492503711811e-5</v>
      </c>
      <c r="W90" t="str">
        <f t="shared" si="108"/>
        <v>1-0,00577055941584432i</v>
      </c>
      <c r="X90" s="4">
        <f t="shared" si="122"/>
        <v>1.00001664953938</v>
      </c>
      <c r="Y90" s="4">
        <f t="shared" si="123"/>
        <v>-0.00577049536515331</v>
      </c>
      <c r="Z90" t="str">
        <f t="shared" si="109"/>
        <v>0,999999980414374+0,00030619294859582i</v>
      </c>
      <c r="AA90" s="4">
        <f t="shared" si="124"/>
        <v>1.00000002729143</v>
      </c>
      <c r="AB90" s="4">
        <f t="shared" si="125"/>
        <v>0.00030619294502385</v>
      </c>
      <c r="AC90" s="67" t="str">
        <f t="shared" si="126"/>
        <v>14,8539109526078-1,51875163702166i</v>
      </c>
      <c r="AD90" s="68">
        <f t="shared" si="127"/>
        <v>23.4819827668041</v>
      </c>
      <c r="AE90" s="31">
        <f t="shared" si="128"/>
        <v>-5.83797167543736</v>
      </c>
      <c r="AF90" s="32" t="str">
        <f t="shared" si="129"/>
        <v>75,4669735059805</v>
      </c>
      <c r="AG90" s="32" t="str">
        <f t="shared" si="110"/>
        <v>1+0,0618274223126177i</v>
      </c>
      <c r="AH90" s="32">
        <f t="shared" si="130"/>
        <v>1.00190949199507</v>
      </c>
      <c r="AI90" s="32">
        <f t="shared" si="131"/>
        <v>0.0617488213884978</v>
      </c>
      <c r="AJ90" s="32" t="str">
        <f t="shared" si="111"/>
        <v>1+0,0000659492504667922i</v>
      </c>
      <c r="AK90" s="32">
        <f t="shared" si="132"/>
        <v>1.00000000217465</v>
      </c>
      <c r="AL90" s="32">
        <f t="shared" si="133"/>
        <v>6.59492503711811e-5</v>
      </c>
      <c r="AM90" s="32" t="str">
        <f t="shared" si="112"/>
        <v>1-0,000737335035544535i</v>
      </c>
      <c r="AN90" s="32">
        <f t="shared" si="134"/>
        <v>1.00000027183144</v>
      </c>
      <c r="AO90" s="32">
        <f t="shared" si="135"/>
        <v>-0.000737334901923997</v>
      </c>
      <c r="AP90" s="30" t="str">
        <f t="shared" si="136"/>
        <v>75,1764726866108-4,69863497802281i</v>
      </c>
      <c r="AQ90" s="32">
        <f t="shared" si="137"/>
        <v>37.5385712299421</v>
      </c>
      <c r="AR90" s="31">
        <f t="shared" si="138"/>
        <v>-3.57641441972769</v>
      </c>
      <c r="AS90" t="str">
        <f t="shared" si="113"/>
        <v>-0,000338461538461538</v>
      </c>
      <c r="AT90" t="str">
        <f t="shared" si="114"/>
        <v>0,0000577234004560692i</v>
      </c>
      <c r="AU90">
        <f t="shared" si="139"/>
        <v>5.77234004560692e-5</v>
      </c>
      <c r="AV90">
        <f t="shared" si="140"/>
        <v>1.5707963267949</v>
      </c>
      <c r="AW90" t="str">
        <f t="shared" si="115"/>
        <v>1+0,00936829420286141i</v>
      </c>
      <c r="AX90">
        <f t="shared" si="141"/>
        <v>1.00004388150534</v>
      </c>
      <c r="AY90">
        <f t="shared" si="142"/>
        <v>0.00936802014804481</v>
      </c>
      <c r="AZ90" t="str">
        <f t="shared" si="116"/>
        <v>1+0,0817770705788223i</v>
      </c>
      <c r="BA90">
        <f t="shared" si="143"/>
        <v>1.00333817293695</v>
      </c>
      <c r="BB90">
        <f t="shared" si="144"/>
        <v>0.0815955041307049</v>
      </c>
      <c r="BC90" s="30" t="str">
        <f t="shared" si="145"/>
        <v>-0,424532077783991+5,86748372257089i</v>
      </c>
      <c r="BD90" s="32">
        <f t="shared" si="146"/>
        <v>15.391713911199</v>
      </c>
      <c r="BE90" s="31">
        <f t="shared" si="147"/>
        <v>94.1383299970552</v>
      </c>
      <c r="BF90" s="30" t="str">
        <f t="shared" si="148"/>
        <v>2,60528882892351+87,7998395190464i</v>
      </c>
      <c r="BG90" s="68">
        <f t="shared" si="149"/>
        <v>38.8736966780031</v>
      </c>
      <c r="BH90" s="31">
        <f t="shared" si="150"/>
        <v>88.3003583216178</v>
      </c>
      <c r="BI90" s="30" t="str">
        <f t="shared" si="103"/>
        <v>-4,34565989826726+443,091451078953i</v>
      </c>
      <c r="BJ90" s="68">
        <f t="shared" si="151"/>
        <v>52.9302851411411</v>
      </c>
      <c r="BK90" s="31">
        <f t="shared" si="104"/>
        <v>90.5619155773275</v>
      </c>
      <c r="BL90" s="32">
        <f t="shared" si="152"/>
        <v>38.8736966780031</v>
      </c>
      <c r="BM90" s="31">
        <f t="shared" si="153"/>
        <v>88.3003583216178</v>
      </c>
      <c r="BO90">
        <f t="shared" si="154"/>
        <v>0</v>
      </c>
      <c r="BP90">
        <f t="shared" si="155"/>
        <v>0</v>
      </c>
    </row>
    <row r="91" spans="14:68">
      <c r="N91" s="7">
        <v>73</v>
      </c>
      <c r="O91" s="18">
        <f t="shared" si="117"/>
        <v>53.7031796370253</v>
      </c>
      <c r="P91" s="86" t="str">
        <f t="shared" si="105"/>
        <v>15</v>
      </c>
      <c r="Q91" s="4" t="str">
        <f t="shared" si="106"/>
        <v>1+0,0984162168628867i</v>
      </c>
      <c r="R91" s="4">
        <f t="shared" si="118"/>
        <v>1.00483120559704</v>
      </c>
      <c r="S91" s="4">
        <f t="shared" si="119"/>
        <v>0.0981003057281137</v>
      </c>
      <c r="T91" s="4" t="str">
        <f t="shared" si="107"/>
        <v>1+0,0000674854058488366i</v>
      </c>
      <c r="U91" s="4">
        <f t="shared" si="120"/>
        <v>1.00000000227714</v>
      </c>
      <c r="V91" s="4">
        <f t="shared" si="121"/>
        <v>6.74854057463875e-5</v>
      </c>
      <c r="W91" t="str">
        <f t="shared" si="108"/>
        <v>1-0,00590497301177321i</v>
      </c>
      <c r="X91" s="4">
        <f t="shared" si="122"/>
        <v>1.00001743420116</v>
      </c>
      <c r="Y91" s="4">
        <f t="shared" si="123"/>
        <v>-0.0059049043802859</v>
      </c>
      <c r="Z91" t="str">
        <f t="shared" si="109"/>
        <v>0,999999979491332+0,000313325098583883i</v>
      </c>
      <c r="AA91" s="4">
        <f t="shared" si="124"/>
        <v>1.00000002857764</v>
      </c>
      <c r="AB91" s="4">
        <f t="shared" si="125"/>
        <v>0.000313325094756449</v>
      </c>
      <c r="AC91" s="67" t="str">
        <f t="shared" si="126"/>
        <v>14,8470920342911-1,5534568148015i</v>
      </c>
      <c r="AD91" s="68">
        <f t="shared" si="127"/>
        <v>23.4801141056689</v>
      </c>
      <c r="AE91" s="31">
        <f t="shared" si="128"/>
        <v>-5.97314516319977</v>
      </c>
      <c r="AF91" s="32" t="str">
        <f t="shared" si="129"/>
        <v>75,4669735059805</v>
      </c>
      <c r="AG91" s="32" t="str">
        <f t="shared" si="110"/>
        <v>1+0,0632675679832844i</v>
      </c>
      <c r="AH91" s="32">
        <f t="shared" si="130"/>
        <v>1.00199939379149</v>
      </c>
      <c r="AI91" s="32">
        <f t="shared" si="131"/>
        <v>0.0631833546496333</v>
      </c>
      <c r="AJ91" s="32" t="str">
        <f t="shared" si="111"/>
        <v>1+0,0000674854058488366i</v>
      </c>
      <c r="AK91" s="32">
        <f t="shared" si="132"/>
        <v>1.00000000227714</v>
      </c>
      <c r="AL91" s="32">
        <f t="shared" si="133"/>
        <v>6.74854057463875e-5</v>
      </c>
      <c r="AM91" s="32" t="str">
        <f t="shared" si="112"/>
        <v>1-0,000754509774835803i</v>
      </c>
      <c r="AN91" s="32">
        <f t="shared" si="134"/>
        <v>1.00000028464246</v>
      </c>
      <c r="AO91" s="32">
        <f t="shared" si="135"/>
        <v>-0.000754509631658819</v>
      </c>
      <c r="AP91" s="30" t="str">
        <f t="shared" si="136"/>
        <v>75,1628363879601-4,80721751084405i</v>
      </c>
      <c r="AQ91" s="32">
        <f t="shared" si="137"/>
        <v>37.5377919882275</v>
      </c>
      <c r="AR91" s="31">
        <f t="shared" si="138"/>
        <v>-3.6595031454703</v>
      </c>
      <c r="AS91" t="str">
        <f t="shared" si="113"/>
        <v>-0,000338461538461538</v>
      </c>
      <c r="AT91" t="str">
        <f t="shared" si="114"/>
        <v>0,0000590679511773113i</v>
      </c>
      <c r="AU91">
        <f t="shared" si="139"/>
        <v>5.90679511773113e-5</v>
      </c>
      <c r="AV91">
        <f t="shared" si="140"/>
        <v>1.5707963267949</v>
      </c>
      <c r="AW91" t="str">
        <f t="shared" si="115"/>
        <v>1+0,00958650980741248i</v>
      </c>
      <c r="AX91">
        <f t="shared" si="141"/>
        <v>1.00004594952946</v>
      </c>
      <c r="AY91">
        <f t="shared" si="142"/>
        <v>0.00958621615311452</v>
      </c>
      <c r="AZ91" t="str">
        <f t="shared" si="116"/>
        <v>1+0,0836819032525574i</v>
      </c>
      <c r="BA91">
        <f t="shared" si="143"/>
        <v>1.00349522217695</v>
      </c>
      <c r="BB91">
        <f t="shared" si="144"/>
        <v>0.0834873878777424</v>
      </c>
      <c r="BC91" s="30" t="str">
        <f t="shared" si="145"/>
        <v>-0,424530321981331+5,73410664053161i</v>
      </c>
      <c r="BD91" s="32">
        <f t="shared" si="146"/>
        <v>15.1930554168565</v>
      </c>
      <c r="BE91" s="31">
        <f t="shared" si="147"/>
        <v>94.2342252408927</v>
      </c>
      <c r="BF91" s="30" t="str">
        <f t="shared" si="148"/>
        <v>2,60464627572831+85,7942985481843i</v>
      </c>
      <c r="BG91" s="68">
        <f t="shared" si="149"/>
        <v>38.6731695225254</v>
      </c>
      <c r="BH91" s="31">
        <f t="shared" si="150"/>
        <v>88.261080077693</v>
      </c>
      <c r="BI91" s="30" t="str">
        <f t="shared" si="103"/>
        <v>-4,3438052814001+433,032528851106i</v>
      </c>
      <c r="BJ91" s="68">
        <f t="shared" si="151"/>
        <v>52.730847405084</v>
      </c>
      <c r="BK91" s="31">
        <f t="shared" si="104"/>
        <v>90.5747220954224</v>
      </c>
      <c r="BL91" s="32">
        <f t="shared" si="152"/>
        <v>38.6731695225254</v>
      </c>
      <c r="BM91" s="31">
        <f t="shared" si="153"/>
        <v>88.261080077693</v>
      </c>
      <c r="BO91">
        <f t="shared" si="154"/>
        <v>0</v>
      </c>
      <c r="BP91">
        <f t="shared" si="155"/>
        <v>0</v>
      </c>
    </row>
    <row r="92" spans="14:68">
      <c r="N92" s="7">
        <v>74</v>
      </c>
      <c r="O92" s="18">
        <f t="shared" si="117"/>
        <v>54.9540873857625</v>
      </c>
      <c r="P92" s="86" t="str">
        <f t="shared" si="105"/>
        <v>15</v>
      </c>
      <c r="Q92" s="4" t="str">
        <f t="shared" si="106"/>
        <v>1+0,100708625042575i</v>
      </c>
      <c r="R92" s="4">
        <f t="shared" si="118"/>
        <v>1.00505832027697</v>
      </c>
      <c r="S92" s="4">
        <f t="shared" si="119"/>
        <v>0.100370212107048</v>
      </c>
      <c r="T92" s="4" t="str">
        <f t="shared" si="107"/>
        <v>1+0,0000690573428863372i</v>
      </c>
      <c r="U92" s="4">
        <f t="shared" si="120"/>
        <v>1.00000000238446</v>
      </c>
      <c r="V92" s="4">
        <f t="shared" si="121"/>
        <v>6.9057342776561e-5</v>
      </c>
      <c r="W92" t="str">
        <f t="shared" si="108"/>
        <v>1-0,00604251750255451i</v>
      </c>
      <c r="X92" s="4">
        <f t="shared" si="122"/>
        <v>1.00001825584225</v>
      </c>
      <c r="Y92" s="4">
        <f t="shared" si="123"/>
        <v>-0.00604244396266342</v>
      </c>
      <c r="Z92" t="str">
        <f t="shared" si="109"/>
        <v>0,999999978524788+0,000320623377686565i</v>
      </c>
      <c r="AA92" s="4">
        <f t="shared" si="124"/>
        <v>1.00000002992446</v>
      </c>
      <c r="AB92" s="4">
        <f t="shared" si="125"/>
        <v>0.000320623373585395</v>
      </c>
      <c r="AC92" s="67" t="str">
        <f t="shared" si="126"/>
        <v>14,839958058312-1,58892301923461i</v>
      </c>
      <c r="AD92" s="68">
        <f t="shared" si="127"/>
        <v>23.4781582449089</v>
      </c>
      <c r="AE92" s="31">
        <f t="shared" si="128"/>
        <v>-6.11140975140585</v>
      </c>
      <c r="AF92" s="32" t="str">
        <f t="shared" si="129"/>
        <v>75,4669735059805</v>
      </c>
      <c r="AG92" s="32" t="str">
        <f t="shared" si="110"/>
        <v>1+0,0647412589559412i</v>
      </c>
      <c r="AH92" s="32">
        <f t="shared" si="130"/>
        <v>1.00209352388447</v>
      </c>
      <c r="AI92" s="32">
        <f t="shared" si="131"/>
        <v>0.0646510329216463</v>
      </c>
      <c r="AJ92" s="32" t="str">
        <f t="shared" si="111"/>
        <v>1+0,0000690573428863372i</v>
      </c>
      <c r="AK92" s="32">
        <f t="shared" si="132"/>
        <v>1.00000000238446</v>
      </c>
      <c r="AL92" s="32">
        <f t="shared" si="133"/>
        <v>6.9057342776561e-5</v>
      </c>
      <c r="AM92" s="32" t="str">
        <f t="shared" si="112"/>
        <v>1-0,000772084565196807i</v>
      </c>
      <c r="AN92" s="32">
        <f t="shared" si="134"/>
        <v>1.00000029805724</v>
      </c>
      <c r="AO92" s="32">
        <f t="shared" si="135"/>
        <v>-0.000772084411779908</v>
      </c>
      <c r="AP92" s="30" t="str">
        <f t="shared" si="136"/>
        <v>75,1485626744592-4,91826789303403i</v>
      </c>
      <c r="AQ92" s="32">
        <f t="shared" si="137"/>
        <v>37.5369761718541</v>
      </c>
      <c r="AR92" s="31">
        <f t="shared" si="138"/>
        <v>-3.74451181150902</v>
      </c>
      <c r="AS92" t="str">
        <f t="shared" si="113"/>
        <v>-0,000338461538461538</v>
      </c>
      <c r="AT92" t="str">
        <f t="shared" si="114"/>
        <v>0,0000604438205081243i</v>
      </c>
      <c r="AU92">
        <f t="shared" si="139"/>
        <v>6.04438205081243e-5</v>
      </c>
      <c r="AV92">
        <f t="shared" si="140"/>
        <v>1.5707963267949</v>
      </c>
      <c r="AW92" t="str">
        <f t="shared" si="115"/>
        <v>1+0,00980980830635592i</v>
      </c>
      <c r="AX92">
        <f t="shared" si="141"/>
        <v>1.00004811501198</v>
      </c>
      <c r="AY92">
        <f t="shared" si="142"/>
        <v>0.00980949365092422</v>
      </c>
      <c r="AZ92" t="str">
        <f t="shared" si="116"/>
        <v>1+0,0856311051790581i</v>
      </c>
      <c r="BA92">
        <f t="shared" si="143"/>
        <v>1.00365964658055</v>
      </c>
      <c r="BB92">
        <f t="shared" si="144"/>
        <v>0.0854227192238903</v>
      </c>
      <c r="BC92" s="30" t="str">
        <f t="shared" si="145"/>
        <v>-0,424528483445808+5,6037698561462i</v>
      </c>
      <c r="BD92" s="32">
        <f t="shared" si="146"/>
        <v>14.9944596898458</v>
      </c>
      <c r="BE92" s="31">
        <f t="shared" si="147"/>
        <v>94.3323187007016</v>
      </c>
      <c r="BF92" s="30" t="str">
        <f t="shared" si="148"/>
        <v>2,60397403002913+83,8342527133105i</v>
      </c>
      <c r="BG92" s="68">
        <f t="shared" si="149"/>
        <v>38.4726179347546</v>
      </c>
      <c r="BH92" s="31">
        <f t="shared" si="150"/>
        <v>88.2209089492958</v>
      </c>
      <c r="BI92" s="30" t="str">
        <f t="shared" si="103"/>
        <v>-4,34186398188464+423,203195057658i</v>
      </c>
      <c r="BJ92" s="68">
        <f t="shared" si="151"/>
        <v>52.5314358616999</v>
      </c>
      <c r="BK92" s="31">
        <f t="shared" si="104"/>
        <v>90.5878068891926</v>
      </c>
      <c r="BL92" s="32">
        <f t="shared" si="152"/>
        <v>38.4726179347546</v>
      </c>
      <c r="BM92" s="31">
        <f t="shared" si="153"/>
        <v>88.2209089492958</v>
      </c>
      <c r="BO92">
        <f t="shared" si="154"/>
        <v>0</v>
      </c>
      <c r="BP92">
        <f t="shared" si="155"/>
        <v>0</v>
      </c>
    </row>
    <row r="93" spans="14:68">
      <c r="N93" s="7">
        <v>75</v>
      </c>
      <c r="O93" s="18">
        <f t="shared" si="117"/>
        <v>56.2341325190349</v>
      </c>
      <c r="P93" s="86" t="str">
        <f t="shared" si="105"/>
        <v>15</v>
      </c>
      <c r="Q93" s="4" t="str">
        <f t="shared" si="106"/>
        <v>1+0,103054430268297i</v>
      </c>
      <c r="R93" s="4">
        <f t="shared" si="118"/>
        <v>1.00529608354849</v>
      </c>
      <c r="S93" s="4">
        <f t="shared" si="119"/>
        <v>0.102691917369531</v>
      </c>
      <c r="T93" s="4" t="str">
        <f t="shared" si="107"/>
        <v>1+0,000070665895041118i</v>
      </c>
      <c r="U93" s="4">
        <f t="shared" si="120"/>
        <v>1.00000000249683</v>
      </c>
      <c r="V93" s="4">
        <f t="shared" si="121"/>
        <v>7.06658949234906e-5</v>
      </c>
      <c r="W93" t="str">
        <f t="shared" si="108"/>
        <v>1-0,00618326581609783i</v>
      </c>
      <c r="X93" s="4">
        <f t="shared" si="122"/>
        <v>1.00001911620536</v>
      </c>
      <c r="Y93" s="4">
        <f t="shared" si="123"/>
        <v>-0.00618318701676617</v>
      </c>
      <c r="Z93" t="str">
        <f t="shared" si="109"/>
        <v>0,999999977512692+0,000328091655548047i</v>
      </c>
      <c r="AA93" s="4">
        <f t="shared" si="124"/>
        <v>1.00000003133476</v>
      </c>
      <c r="AB93" s="4">
        <f t="shared" si="125"/>
        <v>0.000328091651153565</v>
      </c>
      <c r="AC93" s="67" t="str">
        <f t="shared" si="126"/>
        <v>14,8324947756715-1,62516466624739i</v>
      </c>
      <c r="AD93" s="68">
        <f t="shared" si="127"/>
        <v>23.4761111577824</v>
      </c>
      <c r="AE93" s="31">
        <f t="shared" si="128"/>
        <v>-6.25283338475098</v>
      </c>
      <c r="AF93" s="32" t="str">
        <f t="shared" si="129"/>
        <v>75,4669735059805</v>
      </c>
      <c r="AG93" s="32" t="str">
        <f t="shared" si="110"/>
        <v>1+0,0662492766010482i</v>
      </c>
      <c r="AH93" s="32">
        <f t="shared" si="130"/>
        <v>1.00219208071615</v>
      </c>
      <c r="AI93" s="32">
        <f t="shared" si="131"/>
        <v>0.0661526090807602</v>
      </c>
      <c r="AJ93" s="32" t="str">
        <f t="shared" si="111"/>
        <v>1+0,000070665895041118i</v>
      </c>
      <c r="AK93" s="32">
        <f t="shared" si="132"/>
        <v>1.00000000249683</v>
      </c>
      <c r="AL93" s="32">
        <f t="shared" si="133"/>
        <v>7.06658949234906e-5</v>
      </c>
      <c r="AM93" s="32" t="str">
        <f t="shared" si="112"/>
        <v>1-0,000790068725014025i</v>
      </c>
      <c r="AN93" s="32">
        <f t="shared" si="134"/>
        <v>1.00000031210425</v>
      </c>
      <c r="AO93" s="32">
        <f t="shared" si="135"/>
        <v>-0.000790068560624858</v>
      </c>
      <c r="AP93" s="30" t="str">
        <f t="shared" si="136"/>
        <v>75,1336220083711-5,03183926078087i</v>
      </c>
      <c r="AQ93" s="32">
        <f t="shared" si="137"/>
        <v>37.5361220715089</v>
      </c>
      <c r="AR93" s="31">
        <f t="shared" si="138"/>
        <v>-3.83148404062151</v>
      </c>
      <c r="AS93" t="str">
        <f t="shared" si="113"/>
        <v>-0,000338461538461538</v>
      </c>
      <c r="AT93" t="str">
        <f t="shared" si="114"/>
        <v>0,0000618517379526393i</v>
      </c>
      <c r="AU93">
        <f t="shared" si="139"/>
        <v>6.18517379526393e-5</v>
      </c>
      <c r="AV93">
        <f t="shared" si="140"/>
        <v>1.5707963267949</v>
      </c>
      <c r="AW93" t="str">
        <f t="shared" si="115"/>
        <v>1+0,0100383080955115i</v>
      </c>
      <c r="AX93">
        <f t="shared" si="141"/>
        <v>1.00005038254551</v>
      </c>
      <c r="AY93">
        <f t="shared" si="142"/>
        <v>0.0100379709370593</v>
      </c>
      <c r="AZ93" t="str">
        <f t="shared" si="116"/>
        <v>1+0,0876257098509863i</v>
      </c>
      <c r="BA93">
        <f t="shared" si="143"/>
        <v>1.00383179120154</v>
      </c>
      <c r="BB93">
        <f t="shared" si="144"/>
        <v>0.0874024662848334</v>
      </c>
      <c r="BC93" s="30" t="str">
        <f t="shared" si="145"/>
        <v>-0,42452655827984+5,47640426301292i</v>
      </c>
      <c r="BD93" s="32">
        <f t="shared" si="146"/>
        <v>14.7959296446453</v>
      </c>
      <c r="BE93" s="31">
        <f t="shared" si="147"/>
        <v>94.432659067587</v>
      </c>
      <c r="BF93" s="30" t="str">
        <f t="shared" si="148"/>
        <v>2,60327074851565+81,9186631830043i</v>
      </c>
      <c r="BG93" s="68">
        <f t="shared" si="149"/>
        <v>38.2720408024276</v>
      </c>
      <c r="BH93" s="31">
        <f t="shared" si="150"/>
        <v>88.179825682836</v>
      </c>
      <c r="BI93" s="30" t="str">
        <f t="shared" si="103"/>
        <v>-4,33983198377608+413,598237265442i</v>
      </c>
      <c r="BJ93" s="68">
        <f t="shared" si="151"/>
        <v>52.3320517161542</v>
      </c>
      <c r="BK93" s="31">
        <f t="shared" si="104"/>
        <v>90.6011750269654</v>
      </c>
      <c r="BL93" s="32">
        <f t="shared" si="152"/>
        <v>38.2720408024276</v>
      </c>
      <c r="BM93" s="31">
        <f t="shared" si="153"/>
        <v>88.179825682836</v>
      </c>
      <c r="BO93">
        <f t="shared" si="154"/>
        <v>0</v>
      </c>
      <c r="BP93">
        <f t="shared" si="155"/>
        <v>0</v>
      </c>
    </row>
    <row r="94" spans="14:68">
      <c r="N94" s="7">
        <v>76</v>
      </c>
      <c r="O94" s="18">
        <f t="shared" si="117"/>
        <v>57.5439937337157</v>
      </c>
      <c r="P94" s="86" t="str">
        <f t="shared" si="105"/>
        <v>15</v>
      </c>
      <c r="Q94" s="4" t="str">
        <f t="shared" si="106"/>
        <v>1+0,105454876317034i</v>
      </c>
      <c r="R94" s="4">
        <f t="shared" si="118"/>
        <v>1.00554499200137</v>
      </c>
      <c r="S94" s="4">
        <f t="shared" si="119"/>
        <v>0.105066552341817</v>
      </c>
      <c r="T94" s="4" t="str">
        <f t="shared" si="107"/>
        <v>1+0,0000723119151888234i</v>
      </c>
      <c r="U94" s="4">
        <f t="shared" si="120"/>
        <v>1.00000000261451</v>
      </c>
      <c r="V94" s="4">
        <f t="shared" si="121"/>
        <v>7.23119150627834e-5</v>
      </c>
      <c r="W94" t="str">
        <f t="shared" si="108"/>
        <v>1-0,00632729257902205i</v>
      </c>
      <c r="X94" s="4">
        <f t="shared" si="122"/>
        <v>1.00002001711535</v>
      </c>
      <c r="Y94" s="4">
        <f t="shared" si="123"/>
        <v>-0.00632720814410822</v>
      </c>
      <c r="Z94" t="str">
        <f t="shared" si="109"/>
        <v>0,999999976452898+0,000335733891948108i</v>
      </c>
      <c r="AA94" s="4">
        <f t="shared" si="124"/>
        <v>1.00000003281152</v>
      </c>
      <c r="AB94" s="4">
        <f t="shared" si="125"/>
        <v>0.000335733887239335</v>
      </c>
      <c r="AC94" s="67" t="str">
        <f t="shared" si="126"/>
        <v>14,8246873222769-1,66219627995346i</v>
      </c>
      <c r="AD94" s="68">
        <f t="shared" si="127"/>
        <v>23.4739686356405</v>
      </c>
      <c r="AE94" s="31">
        <f t="shared" si="128"/>
        <v>-6.39748530717139</v>
      </c>
      <c r="AF94" s="32" t="str">
        <f t="shared" si="129"/>
        <v>75,4669735059805</v>
      </c>
      <c r="AG94" s="32" t="str">
        <f t="shared" si="110"/>
        <v>1+0,067792420489522i</v>
      </c>
      <c r="AH94" s="32">
        <f t="shared" si="130"/>
        <v>1.00229527200113</v>
      </c>
      <c r="AI94" s="32">
        <f t="shared" si="131"/>
        <v>0.0676888521820735</v>
      </c>
      <c r="AJ94" s="32" t="str">
        <f t="shared" si="111"/>
        <v>1+0,0000723119151888234i</v>
      </c>
      <c r="AK94" s="32">
        <f t="shared" si="132"/>
        <v>1.00000000261451</v>
      </c>
      <c r="AL94" s="32">
        <f t="shared" si="133"/>
        <v>7.23119150627834e-5</v>
      </c>
      <c r="AM94" s="32" t="str">
        <f t="shared" si="112"/>
        <v>1-0,000808471789727043i</v>
      </c>
      <c r="AN94" s="32">
        <f t="shared" si="134"/>
        <v>1.00000032681326</v>
      </c>
      <c r="AO94" s="32">
        <f t="shared" si="135"/>
        <v>-0.00080847161358088</v>
      </c>
      <c r="AP94" s="30" t="str">
        <f t="shared" si="136"/>
        <v>75,1179835079105-5,14798568204119i</v>
      </c>
      <c r="AQ94" s="32">
        <f t="shared" si="137"/>
        <v>37.5352278987014</v>
      </c>
      <c r="AR94" s="31">
        <f t="shared" si="138"/>
        <v>-3.92046439389041</v>
      </c>
      <c r="AS94" t="str">
        <f t="shared" si="113"/>
        <v>-0,000338461538461538</v>
      </c>
      <c r="AT94" t="str">
        <f t="shared" si="114"/>
        <v>0,0000632924500073214i</v>
      </c>
      <c r="AU94">
        <f t="shared" si="139"/>
        <v>6.32924500073214e-5</v>
      </c>
      <c r="AV94">
        <f t="shared" si="140"/>
        <v>1.5707963267949</v>
      </c>
      <c r="AW94" t="str">
        <f t="shared" si="115"/>
        <v>1+0,0102721303284921i</v>
      </c>
      <c r="AX94">
        <f t="shared" si="141"/>
        <v>1.0000527569391</v>
      </c>
      <c r="AY94">
        <f t="shared" si="142"/>
        <v>0.010271769057731</v>
      </c>
      <c r="AZ94" t="str">
        <f t="shared" si="116"/>
        <v>1+0,089666774834141i</v>
      </c>
      <c r="BA94">
        <f t="shared" si="143"/>
        <v>1.00401201711392</v>
      </c>
      <c r="BB94">
        <f t="shared" si="144"/>
        <v>0.0894276166388836</v>
      </c>
      <c r="BC94" s="30" t="str">
        <f t="shared" si="145"/>
        <v>-0,424524542402311+5,35194233008684i</v>
      </c>
      <c r="BD94" s="32">
        <f t="shared" si="146"/>
        <v>14.5974683289249</v>
      </c>
      <c r="BE94" s="31">
        <f t="shared" si="147"/>
        <v>94.5352959901809</v>
      </c>
      <c r="BF94" s="30" t="str">
        <f t="shared" si="148"/>
        <v>2,60253502984886+80,0465147255255i</v>
      </c>
      <c r="BG94" s="68">
        <f t="shared" si="149"/>
        <v>38.0714369645653</v>
      </c>
      <c r="BH94" s="31">
        <f t="shared" si="150"/>
        <v>88.1378106830094</v>
      </c>
      <c r="BI94" s="30" t="str">
        <f t="shared" si="103"/>
        <v>-4,33770508848283+404,212561952713i</v>
      </c>
      <c r="BJ94" s="68">
        <f t="shared" si="151"/>
        <v>52.1326962276262</v>
      </c>
      <c r="BK94" s="31">
        <f t="shared" si="104"/>
        <v>90.6148315962904</v>
      </c>
      <c r="BL94" s="32">
        <f t="shared" si="152"/>
        <v>38.0714369645653</v>
      </c>
      <c r="BM94" s="31">
        <f t="shared" si="153"/>
        <v>88.1378106830094</v>
      </c>
      <c r="BO94">
        <f t="shared" si="154"/>
        <v>0</v>
      </c>
      <c r="BP94">
        <f t="shared" si="155"/>
        <v>0</v>
      </c>
    </row>
    <row r="95" spans="14:68">
      <c r="N95" s="7">
        <v>77</v>
      </c>
      <c r="O95" s="18">
        <f t="shared" si="117"/>
        <v>58.8843655355589</v>
      </c>
      <c r="P95" s="86" t="str">
        <f t="shared" si="105"/>
        <v>15</v>
      </c>
      <c r="Q95" s="4" t="str">
        <f t="shared" si="106"/>
        <v>1+0,107911235937055i</v>
      </c>
      <c r="R95" s="4">
        <f t="shared" si="118"/>
        <v>1.00580556512751</v>
      </c>
      <c r="S95" s="4">
        <f t="shared" si="119"/>
        <v>0.107495268905816</v>
      </c>
      <c r="T95" s="4" t="str">
        <f t="shared" si="107"/>
        <v>1+0,0000739962760711232i</v>
      </c>
      <c r="U95" s="4">
        <f t="shared" si="120"/>
        <v>1.00000000273772</v>
      </c>
      <c r="V95" s="4">
        <f t="shared" si="121"/>
        <v>7.39962759360689e-5</v>
      </c>
      <c r="W95" t="str">
        <f t="shared" si="108"/>
        <v>1-0,00647467415622328i</v>
      </c>
      <c r="X95" s="4">
        <f t="shared" si="122"/>
        <v>1.00002096048304</v>
      </c>
      <c r="Y95" s="4">
        <f t="shared" si="123"/>
        <v>-0.00647458368268549</v>
      </c>
      <c r="Z95" t="str">
        <f t="shared" si="109"/>
        <v>0,999999975343157+0,000343554138901642i</v>
      </c>
      <c r="AA95" s="4">
        <f t="shared" si="124"/>
        <v>1.00000003435788</v>
      </c>
      <c r="AB95" s="4">
        <f t="shared" si="125"/>
        <v>0.000343554133856101</v>
      </c>
      <c r="AC95" s="67" t="str">
        <f t="shared" si="126"/>
        <v>14,8165201952001-1,70003247998631i</v>
      </c>
      <c r="AD95" s="68">
        <f t="shared" si="127"/>
        <v>23.4717262800945</v>
      </c>
      <c r="AE95" s="31">
        <f t="shared" si="128"/>
        <v>-6.54543607264266</v>
      </c>
      <c r="AF95" s="32" t="str">
        <f t="shared" si="129"/>
        <v>75,4669735059805</v>
      </c>
      <c r="AG95" s="32" t="str">
        <f t="shared" si="110"/>
        <v>1+0,069371508816678i</v>
      </c>
      <c r="AH95" s="32">
        <f t="shared" si="130"/>
        <v>1.00240331515588</v>
      </c>
      <c r="AI95" s="32">
        <f t="shared" si="131"/>
        <v>0.0692605477408955</v>
      </c>
      <c r="AJ95" s="32" t="str">
        <f t="shared" si="111"/>
        <v>1+0,0000739962760711232i</v>
      </c>
      <c r="AK95" s="32">
        <f t="shared" si="132"/>
        <v>1.00000000273772</v>
      </c>
      <c r="AL95" s="32">
        <f t="shared" si="133"/>
        <v>7.39962759360689e-5</v>
      </c>
      <c r="AM95" s="32" t="str">
        <f t="shared" si="112"/>
        <v>1-0,000827303516884363i</v>
      </c>
      <c r="AN95" s="32">
        <f t="shared" si="134"/>
        <v>1.0000003422155</v>
      </c>
      <c r="AO95" s="32">
        <f t="shared" si="135"/>
        <v>-0.000827303328140353</v>
      </c>
      <c r="AP95" s="30" t="str">
        <f t="shared" si="136"/>
        <v>75,1016148884636-5,26676215696612i</v>
      </c>
      <c r="AQ95" s="32">
        <f t="shared" si="137"/>
        <v>37.5342917821639</v>
      </c>
      <c r="AR95" s="31">
        <f t="shared" si="138"/>
        <v>-4.0114983870864</v>
      </c>
      <c r="AS95" t="str">
        <f t="shared" si="113"/>
        <v>-0,000338461538461538</v>
      </c>
      <c r="AT95" t="str">
        <f t="shared" si="114"/>
        <v>0,000064766720556772i</v>
      </c>
      <c r="AU95">
        <f t="shared" si="139"/>
        <v>6.4766720556772e-5</v>
      </c>
      <c r="AV95">
        <f t="shared" si="140"/>
        <v>1.5707963267949</v>
      </c>
      <c r="AW95" t="str">
        <f t="shared" si="115"/>
        <v>1+0,0105113989809406i</v>
      </c>
      <c r="AX95">
        <f t="shared" si="141"/>
        <v>1.00005524322836</v>
      </c>
      <c r="AY95">
        <f t="shared" si="142"/>
        <v>0.0105110118735006</v>
      </c>
      <c r="AZ95" t="str">
        <f t="shared" si="116"/>
        <v>1+0,0917553823281927i</v>
      </c>
      <c r="BA95">
        <f t="shared" si="143"/>
        <v>1.00420070214385</v>
      </c>
      <c r="BB95">
        <f t="shared" si="144"/>
        <v>0.0914991775658323</v>
      </c>
      <c r="BC95" s="30" t="str">
        <f t="shared" si="145"/>
        <v>-0,424522431539921+5,23031806587335i</v>
      </c>
      <c r="BD95" s="32">
        <f t="shared" si="146"/>
        <v>14.3990789294284</v>
      </c>
      <c r="BE95" s="31">
        <f t="shared" si="147"/>
        <v>94.6402800846768</v>
      </c>
      <c r="BF95" s="30" t="str">
        <f t="shared" si="148"/>
        <v>2,60176541241718+78,2168151724331i</v>
      </c>
      <c r="BG95" s="68">
        <f t="shared" si="149"/>
        <v>37.8708052095229</v>
      </c>
      <c r="BH95" s="31">
        <f t="shared" si="150"/>
        <v>88.0948440120342</v>
      </c>
      <c r="BI95" s="30" t="str">
        <f t="shared" si="103"/>
        <v>-4,33547890678731+395,041191804612i</v>
      </c>
      <c r="BJ95" s="68">
        <f t="shared" si="151"/>
        <v>51.9333707115922</v>
      </c>
      <c r="BK95" s="31">
        <f t="shared" si="104"/>
        <v>90.6287816975904</v>
      </c>
      <c r="BL95" s="32">
        <f t="shared" si="152"/>
        <v>37.8708052095229</v>
      </c>
      <c r="BM95" s="31">
        <f t="shared" si="153"/>
        <v>88.0948440120342</v>
      </c>
      <c r="BO95">
        <f t="shared" si="154"/>
        <v>0</v>
      </c>
      <c r="BP95">
        <f t="shared" si="155"/>
        <v>0</v>
      </c>
    </row>
    <row r="96" spans="14:68">
      <c r="N96" s="7">
        <v>78</v>
      </c>
      <c r="O96" s="18">
        <f t="shared" si="117"/>
        <v>60.2559586074358</v>
      </c>
      <c r="P96" s="86" t="str">
        <f t="shared" si="105"/>
        <v>15</v>
      </c>
      <c r="Q96" s="4" t="str">
        <f t="shared" si="106"/>
        <v>1+0,110424811522743i</v>
      </c>
      <c r="R96" s="4">
        <f t="shared" si="118"/>
        <v>1.00607834635272</v>
      </c>
      <c r="S96" s="4">
        <f t="shared" si="119"/>
        <v>0.10997924012727</v>
      </c>
      <c r="T96" s="4" t="str">
        <f t="shared" si="107"/>
        <v>1+0,0000757198707584524i</v>
      </c>
      <c r="U96" s="4">
        <f t="shared" si="120"/>
        <v>1.00000000286675</v>
      </c>
      <c r="V96" s="4">
        <f t="shared" si="121"/>
        <v>7.57198706137391e-5</v>
      </c>
      <c r="W96" t="str">
        <f t="shared" si="108"/>
        <v>1-0,00662548869136459i</v>
      </c>
      <c r="X96" s="4">
        <f t="shared" si="122"/>
        <v>1.00002194830934</v>
      </c>
      <c r="Y96" s="4">
        <f t="shared" si="123"/>
        <v>-0.00662539174733715</v>
      </c>
      <c r="Z96" t="str">
        <f t="shared" si="109"/>
        <v>0,999999974181116+0,000351556542807099i</v>
      </c>
      <c r="AA96" s="4">
        <f t="shared" si="124"/>
        <v>1.00000003597712</v>
      </c>
      <c r="AB96" s="4">
        <f t="shared" si="125"/>
        <v>0.000351556537400704</v>
      </c>
      <c r="AC96" s="67" t="str">
        <f t="shared" si="126"/>
        <v>14,8079772282943-1,7386879675789i</v>
      </c>
      <c r="AD96" s="68">
        <f t="shared" si="127"/>
        <v>23.4693794948834</v>
      </c>
      <c r="AE96" s="31">
        <f t="shared" si="128"/>
        <v>-6.69675755493347</v>
      </c>
      <c r="AF96" s="32" t="str">
        <f t="shared" si="129"/>
        <v>75,4669735059805</v>
      </c>
      <c r="AG96" s="32" t="str">
        <f t="shared" si="110"/>
        <v>1+0,0709873788360492i</v>
      </c>
      <c r="AH96" s="32">
        <f t="shared" si="130"/>
        <v>1.00251643774754</v>
      </c>
      <c r="AI96" s="32">
        <f t="shared" si="131"/>
        <v>0.0708684980139983</v>
      </c>
      <c r="AJ96" s="32" t="str">
        <f t="shared" si="111"/>
        <v>1+0,0000757198707584524i</v>
      </c>
      <c r="AK96" s="32">
        <f t="shared" si="132"/>
        <v>1.00000000286675</v>
      </c>
      <c r="AL96" s="32">
        <f t="shared" si="133"/>
        <v>7.57198706137391e-5</v>
      </c>
      <c r="AM96" s="32" t="str">
        <f t="shared" si="112"/>
        <v>1-0,00084657389131699i</v>
      </c>
      <c r="AN96" s="32">
        <f t="shared" si="134"/>
        <v>1.00000035834361</v>
      </c>
      <c r="AO96" s="32">
        <f t="shared" si="135"/>
        <v>-0.000846573689074143</v>
      </c>
      <c r="AP96" s="30" t="str">
        <f t="shared" si="136"/>
        <v>75,0844824014668-5,38822461688807i</v>
      </c>
      <c r="AQ96" s="32">
        <f t="shared" si="137"/>
        <v>37.5333117640945</v>
      </c>
      <c r="AR96" s="31">
        <f t="shared" si="138"/>
        <v>-4.10463250705269</v>
      </c>
      <c r="AS96" t="str">
        <f t="shared" si="113"/>
        <v>-0,000338461538461538</v>
      </c>
      <c r="AT96" t="str">
        <f t="shared" si="114"/>
        <v>0,0000662753312787506i</v>
      </c>
      <c r="AU96">
        <f t="shared" si="139"/>
        <v>6.62753312787506e-5</v>
      </c>
      <c r="AV96">
        <f t="shared" si="140"/>
        <v>1.5707963267949</v>
      </c>
      <c r="AW96" t="str">
        <f t="shared" si="115"/>
        <v>1+0,0107562409162636i</v>
      </c>
      <c r="AX96">
        <f t="shared" si="141"/>
        <v>1.0000578466862</v>
      </c>
      <c r="AY96">
        <f t="shared" si="142"/>
        <v>0.0107558261244642</v>
      </c>
      <c r="AZ96" t="str">
        <f t="shared" si="116"/>
        <v>1+0,0938926397404809i</v>
      </c>
      <c r="BA96">
        <f t="shared" si="143"/>
        <v>1.00439824163398</v>
      </c>
      <c r="BB96">
        <f t="shared" si="144"/>
        <v>0.093618176276786</v>
      </c>
      <c r="BC96" s="30" t="str">
        <f t="shared" si="145"/>
        <v>-0,424520221218147+5,11146698343813i</v>
      </c>
      <c r="BD96" s="32">
        <f t="shared" si="146"/>
        <v>14.2007647780965</v>
      </c>
      <c r="BE96" s="31">
        <f t="shared" si="147"/>
        <v>94.7476629442632</v>
      </c>
      <c r="BF96" s="30" t="str">
        <f t="shared" si="148"/>
        <v>2,60096037203191+76,4285948945559i</v>
      </c>
      <c r="BG96" s="68">
        <f t="shared" si="149"/>
        <v>37.67014427298</v>
      </c>
      <c r="BH96" s="31">
        <f t="shared" si="150"/>
        <v>88.0509053893298</v>
      </c>
      <c r="BI96" s="30" t="str">
        <f t="shared" si="103"/>
        <v>-4,33314885054882+386,079263069973i</v>
      </c>
      <c r="BJ96" s="68">
        <f t="shared" si="151"/>
        <v>51.7340765421911</v>
      </c>
      <c r="BK96" s="31">
        <f t="shared" si="104"/>
        <v>90.6430304372106</v>
      </c>
      <c r="BL96" s="32">
        <f t="shared" si="152"/>
        <v>37.67014427298</v>
      </c>
      <c r="BM96" s="31">
        <f t="shared" si="153"/>
        <v>88.0509053893298</v>
      </c>
      <c r="BO96">
        <f t="shared" si="154"/>
        <v>0</v>
      </c>
      <c r="BP96">
        <f t="shared" si="155"/>
        <v>0</v>
      </c>
    </row>
    <row r="97" spans="14:68">
      <c r="N97" s="7">
        <v>79</v>
      </c>
      <c r="O97" s="18">
        <f t="shared" si="117"/>
        <v>61.6595001861483</v>
      </c>
      <c r="P97" s="86" t="str">
        <f t="shared" si="105"/>
        <v>15</v>
      </c>
      <c r="Q97" s="4" t="str">
        <f t="shared" si="106"/>
        <v>1+0,112996935805146i</v>
      </c>
      <c r="R97" s="4">
        <f t="shared" si="118"/>
        <v>1.0063639041129</v>
      </c>
      <c r="S97" s="4">
        <f t="shared" si="119"/>
        <v>0.112519660362881</v>
      </c>
      <c r="T97" s="4" t="str">
        <f t="shared" si="107"/>
        <v>1+0,0000774836131235288i</v>
      </c>
      <c r="U97" s="4">
        <f t="shared" si="120"/>
        <v>1.00000000300185</v>
      </c>
      <c r="V97" s="4">
        <f t="shared" si="121"/>
        <v>7.74836129684657e-5</v>
      </c>
      <c r="W97" t="str">
        <f t="shared" si="108"/>
        <v>1-0,00677981614830878i</v>
      </c>
      <c r="X97" s="4">
        <f t="shared" si="122"/>
        <v>1.0000229826894</v>
      </c>
      <c r="Y97" s="4">
        <f t="shared" si="123"/>
        <v>-0.00677971227104079</v>
      </c>
      <c r="Z97" t="str">
        <f t="shared" si="109"/>
        <v>0,99999997296431+0,000359745346644954i</v>
      </c>
      <c r="AA97" s="4">
        <f t="shared" si="124"/>
        <v>1.00000003767267</v>
      </c>
      <c r="AB97" s="4">
        <f t="shared" si="125"/>
        <v>0.000359745340851898</v>
      </c>
      <c r="AC97" s="67" t="str">
        <f t="shared" si="126"/>
        <v>14,79904156718-1,77817751030708i</v>
      </c>
      <c r="AD97" s="68">
        <f t="shared" si="127"/>
        <v>23.4669234774324</v>
      </c>
      <c r="AE97" s="31">
        <f t="shared" si="128"/>
        <v>-6.85152295620802</v>
      </c>
      <c r="AF97" s="32" t="str">
        <f t="shared" si="129"/>
        <v>75,4669735059805</v>
      </c>
      <c r="AG97" s="32" t="str">
        <f t="shared" si="110"/>
        <v>1+0,0726408873033083i</v>
      </c>
      <c r="AH97" s="32">
        <f t="shared" si="130"/>
        <v>1.00263487796317</v>
      </c>
      <c r="AI97" s="32">
        <f t="shared" si="131"/>
        <v>0.0725135222803274</v>
      </c>
      <c r="AJ97" s="32" t="str">
        <f t="shared" si="111"/>
        <v>1+0,0000774836131235288i</v>
      </c>
      <c r="AK97" s="32">
        <f t="shared" si="132"/>
        <v>1.00000000300185</v>
      </c>
      <c r="AL97" s="32">
        <f t="shared" si="133"/>
        <v>7.74836129684657e-5</v>
      </c>
      <c r="AM97" s="32" t="str">
        <f t="shared" si="112"/>
        <v>1-0,000866293130432526i</v>
      </c>
      <c r="AN97" s="32">
        <f t="shared" si="134"/>
        <v>1.00000037523182</v>
      </c>
      <c r="AO97" s="32">
        <f t="shared" si="135"/>
        <v>-0.000866292913725415</v>
      </c>
      <c r="AP97" s="30" t="str">
        <f t="shared" si="136"/>
        <v>75,066550770877-5,51242992173937i</v>
      </c>
      <c r="AQ97" s="32">
        <f t="shared" si="137"/>
        <v>37.5322857962373</v>
      </c>
      <c r="AR97" s="31">
        <f t="shared" si="138"/>
        <v>-4.19991422806466</v>
      </c>
      <c r="AS97" t="str">
        <f t="shared" si="113"/>
        <v>-0,000338461538461538</v>
      </c>
      <c r="AT97" t="str">
        <f t="shared" si="114"/>
        <v>0,000067819082058631i</v>
      </c>
      <c r="AU97">
        <f t="shared" si="139"/>
        <v>6.7819082058631e-5</v>
      </c>
      <c r="AV97">
        <f t="shared" si="140"/>
        <v>1.5707963267949</v>
      </c>
      <c r="AW97" t="str">
        <f t="shared" si="115"/>
        <v>1+0,011006785952896i</v>
      </c>
      <c r="AX97">
        <f t="shared" si="141"/>
        <v>1.00006057283397</v>
      </c>
      <c r="AY97">
        <f t="shared" si="142"/>
        <v>0.0110063414969293</v>
      </c>
      <c r="AZ97" t="str">
        <f t="shared" si="116"/>
        <v>1+0,0960796802731757i</v>
      </c>
      <c r="BA97">
        <f t="shared" si="143"/>
        <v>1.00460504924144</v>
      </c>
      <c r="BB97">
        <f t="shared" si="144"/>
        <v>0.0957856601338202</v>
      </c>
      <c r="BC97" s="30" t="str">
        <f t="shared" si="145"/>
        <v>-0,424517906751792+4,99532606621457i</v>
      </c>
      <c r="BD97" s="32">
        <f t="shared" si="146"/>
        <v>14.0025293584376</v>
      </c>
      <c r="BE97" s="31">
        <f t="shared" si="147"/>
        <v>94.8574971478887</v>
      </c>
      <c r="BF97" s="30" t="str">
        <f t="shared" si="148"/>
        <v>2,60011831956147+74,6809062900358i</v>
      </c>
      <c r="BG97" s="68">
        <f t="shared" si="149"/>
        <v>37.46945283587</v>
      </c>
      <c r="BH97" s="31">
        <f t="shared" si="150"/>
        <v>88.0059741916806</v>
      </c>
      <c r="BI97" s="30" t="str">
        <f t="shared" si="103"/>
        <v>-4,330710124084+377,322022978074i</v>
      </c>
      <c r="BJ97" s="68">
        <f t="shared" si="151"/>
        <v>51.5348151546749</v>
      </c>
      <c r="BK97" s="31">
        <f t="shared" si="104"/>
        <v>90.657582919824</v>
      </c>
      <c r="BL97" s="32">
        <f t="shared" si="152"/>
        <v>37.46945283587</v>
      </c>
      <c r="BM97" s="31">
        <f t="shared" si="153"/>
        <v>88.0059741916806</v>
      </c>
      <c r="BO97">
        <f t="shared" si="154"/>
        <v>0</v>
      </c>
      <c r="BP97">
        <f t="shared" si="155"/>
        <v>0</v>
      </c>
    </row>
    <row r="98" spans="14:68">
      <c r="N98" s="7">
        <v>80</v>
      </c>
      <c r="O98" s="18">
        <f t="shared" si="117"/>
        <v>63.0957344480194</v>
      </c>
      <c r="P98" s="86" t="str">
        <f t="shared" si="105"/>
        <v>15</v>
      </c>
      <c r="Q98" s="4" t="str">
        <f t="shared" si="106"/>
        <v>1+0,115628972558604i</v>
      </c>
      <c r="R98" s="4">
        <f t="shared" si="118"/>
        <v>1.00666283297585</v>
      </c>
      <c r="S98" s="4">
        <f t="shared" si="119"/>
        <v>0.115117745344376</v>
      </c>
      <c r="T98" s="4" t="str">
        <f t="shared" si="107"/>
        <v>1+0,0000792884383259i</v>
      </c>
      <c r="U98" s="4">
        <f t="shared" si="120"/>
        <v>1.00000000314333</v>
      </c>
      <c r="V98" s="4">
        <f t="shared" si="121"/>
        <v>7.92884381597469e-5</v>
      </c>
      <c r="W98" t="str">
        <f t="shared" si="108"/>
        <v>1-0,00693773835351626i</v>
      </c>
      <c r="X98" s="4">
        <f t="shared" si="122"/>
        <v>1.00002406581715</v>
      </c>
      <c r="Y98" s="4">
        <f t="shared" si="123"/>
        <v>-0.0069376270471629</v>
      </c>
      <c r="Z98" t="str">
        <f t="shared" si="109"/>
        <v>0,999999971690157+0,000368124892227392i</v>
      </c>
      <c r="AA98" s="4">
        <f t="shared" si="124"/>
        <v>1.00000003944812</v>
      </c>
      <c r="AB98" s="4">
        <f t="shared" si="125"/>
        <v>0.00036812488602002</v>
      </c>
      <c r="AC98" s="67" t="str">
        <f t="shared" si="126"/>
        <v>14,7896956436188-1,81851592541018i</v>
      </c>
      <c r="AD98" s="68">
        <f t="shared" si="127"/>
        <v>23.4643532100961</v>
      </c>
      <c r="AE98" s="31">
        <f t="shared" si="128"/>
        <v>-7.00980681436466</v>
      </c>
      <c r="AF98" s="32" t="str">
        <f t="shared" si="129"/>
        <v>75,4669735059805</v>
      </c>
      <c r="AG98" s="32" t="str">
        <f t="shared" si="110"/>
        <v>1+0,0743329109305313i</v>
      </c>
      <c r="AH98" s="32">
        <f t="shared" si="130"/>
        <v>1.00275888510021</v>
      </c>
      <c r="AI98" s="32">
        <f t="shared" si="131"/>
        <v>0.0741964571206806</v>
      </c>
      <c r="AJ98" s="32" t="str">
        <f t="shared" si="111"/>
        <v>1+0,0000792884383259i</v>
      </c>
      <c r="AK98" s="32">
        <f t="shared" si="132"/>
        <v>1.00000000314333</v>
      </c>
      <c r="AL98" s="32">
        <f t="shared" si="133"/>
        <v>7.92884381597469e-5</v>
      </c>
      <c r="AM98" s="32" t="str">
        <f t="shared" si="112"/>
        <v>1-0,00088647168963256i</v>
      </c>
      <c r="AN98" s="32">
        <f t="shared" si="134"/>
        <v>1.00000039291595</v>
      </c>
      <c r="AO98" s="32">
        <f t="shared" si="135"/>
        <v>-0.000886471457426713</v>
      </c>
      <c r="AP98" s="30" t="str">
        <f t="shared" si="136"/>
        <v>75,0477831271592-5,63943585576579i</v>
      </c>
      <c r="AQ98" s="32">
        <f t="shared" si="137"/>
        <v>37.5312117357918</v>
      </c>
      <c r="AR98" s="31">
        <f t="shared" si="138"/>
        <v>-4.29739202813701</v>
      </c>
      <c r="AS98" t="str">
        <f t="shared" si="113"/>
        <v>-0,000338461538461538</v>
      </c>
      <c r="AT98" t="str">
        <f t="shared" si="114"/>
        <v>0,0000693987914135105i</v>
      </c>
      <c r="AU98">
        <f t="shared" si="139"/>
        <v>6.93987914135105e-5</v>
      </c>
      <c r="AV98">
        <f t="shared" si="140"/>
        <v>1.5707963267949</v>
      </c>
      <c r="AW98" t="str">
        <f t="shared" si="115"/>
        <v>1+0,0112631669331327i</v>
      </c>
      <c r="AX98">
        <f t="shared" si="141"/>
        <v>1.00006342745316</v>
      </c>
      <c r="AY98">
        <f t="shared" si="142"/>
        <v>0.0112626906916153</v>
      </c>
      <c r="AZ98" t="str">
        <f t="shared" si="116"/>
        <v>1+0,098317663524116i</v>
      </c>
      <c r="BA98">
        <f t="shared" si="143"/>
        <v>1.00482155777075</v>
      </c>
      <c r="BB98">
        <f t="shared" si="144"/>
        <v>0.0980026968582052</v>
      </c>
      <c r="BC98" s="30" t="str">
        <f t="shared" si="145"/>
        <v>-0,424515483235041+4,88183373459072i</v>
      </c>
      <c r="BD98" s="32">
        <f t="shared" si="146"/>
        <v>13.8043763121541</v>
      </c>
      <c r="BE98" s="31">
        <f t="shared" si="147"/>
        <v>94.9698362682843</v>
      </c>
      <c r="BF98" s="30" t="str">
        <f t="shared" si="148"/>
        <v>2,59923759850786+72,9728232841938i</v>
      </c>
      <c r="BG98" s="68">
        <f t="shared" si="149"/>
        <v>37.2687295222501</v>
      </c>
      <c r="BH98" s="31">
        <f t="shared" si="150"/>
        <v>87.9600294539197</v>
      </c>
      <c r="BI98" s="30" t="str">
        <f t="shared" si="103"/>
        <v>-4,32815771520663+368,764827213897i</v>
      </c>
      <c r="BJ98" s="68">
        <f t="shared" si="151"/>
        <v>51.3355880479458</v>
      </c>
      <c r="BK98" s="31">
        <f t="shared" si="104"/>
        <v>90.6724442401473</v>
      </c>
      <c r="BL98" s="32">
        <f t="shared" si="152"/>
        <v>37.2687295222501</v>
      </c>
      <c r="BM98" s="31">
        <f t="shared" si="153"/>
        <v>87.9600294539197</v>
      </c>
      <c r="BO98">
        <f t="shared" si="154"/>
        <v>0</v>
      </c>
      <c r="BP98">
        <f t="shared" si="155"/>
        <v>0</v>
      </c>
    </row>
    <row r="99" spans="14:68">
      <c r="N99" s="7">
        <v>81</v>
      </c>
      <c r="O99" s="18">
        <f t="shared" si="117"/>
        <v>64.5654229034656</v>
      </c>
      <c r="P99" s="86" t="str">
        <f t="shared" si="105"/>
        <v>15</v>
      </c>
      <c r="Q99" s="4" t="str">
        <f t="shared" si="106"/>
        <v>1+0,118322317323843i</v>
      </c>
      <c r="R99" s="4">
        <f t="shared" si="118"/>
        <v>1.00697575481085</v>
      </c>
      <c r="S99" s="4">
        <f t="shared" si="119"/>
        <v>0.117774732237404</v>
      </c>
      <c r="T99" s="4" t="str">
        <f t="shared" si="107"/>
        <v>1+0,0000811353033077782i</v>
      </c>
      <c r="U99" s="4">
        <f t="shared" si="120"/>
        <v>1.00000000329147</v>
      </c>
      <c r="V99" s="4">
        <f t="shared" si="121"/>
        <v>8.1135303129742e-5</v>
      </c>
      <c r="W99" t="str">
        <f t="shared" si="108"/>
        <v>1-0,0070993390394306i</v>
      </c>
      <c r="X99" s="4">
        <f t="shared" si="122"/>
        <v>1.00002519998988</v>
      </c>
      <c r="Y99" s="4">
        <f t="shared" si="123"/>
        <v>-0.0070992197726865</v>
      </c>
      <c r="Z99" t="str">
        <f t="shared" si="109"/>
        <v>0,999999970355955+0,000376699622500398i</v>
      </c>
      <c r="AA99" s="4">
        <f t="shared" si="124"/>
        <v>1.00000004130726</v>
      </c>
      <c r="AB99" s="4">
        <f t="shared" si="125"/>
        <v>0.00037669961584908</v>
      </c>
      <c r="AC99" s="67" t="str">
        <f t="shared" si="126"/>
        <v>14,7799211492917-1,85971806159733i</v>
      </c>
      <c r="AD99" s="68">
        <f t="shared" si="127"/>
        <v>23.4616634510781</v>
      </c>
      <c r="AE99" s="31">
        <f t="shared" si="128"/>
        <v>-7.17168500899085</v>
      </c>
      <c r="AF99" s="32" t="str">
        <f t="shared" si="129"/>
        <v>75,4669735059805</v>
      </c>
      <c r="AG99" s="32" t="str">
        <f t="shared" si="110"/>
        <v>1+0,0760643468510421i</v>
      </c>
      <c r="AH99" s="32">
        <f t="shared" si="130"/>
        <v>1.00288872007909</v>
      </c>
      <c r="AI99" s="32">
        <f t="shared" si="131"/>
        <v>0.0759181566958178</v>
      </c>
      <c r="AJ99" s="32" t="str">
        <f t="shared" si="111"/>
        <v>1+0,0000811353033077782i</v>
      </c>
      <c r="AK99" s="32">
        <f t="shared" si="132"/>
        <v>1.00000000329147</v>
      </c>
      <c r="AL99" s="32">
        <f t="shared" si="133"/>
        <v>8.1135303129742e-5</v>
      </c>
      <c r="AM99" s="32" t="str">
        <f t="shared" si="112"/>
        <v>1-0,000907120267856278i</v>
      </c>
      <c r="AN99" s="32">
        <f t="shared" si="134"/>
        <v>1.00000041143351</v>
      </c>
      <c r="AO99" s="32">
        <f t="shared" si="135"/>
        <v>-0.000907120019043235</v>
      </c>
      <c r="AP99" s="30" t="str">
        <f t="shared" si="136"/>
        <v>75,028140938725-5,76930112138797i</v>
      </c>
      <c r="AQ99" s="32">
        <f t="shared" si="137"/>
        <v>37.5300873411469</v>
      </c>
      <c r="AR99" s="31">
        <f t="shared" si="138"/>
        <v>-4.39711540524737</v>
      </c>
      <c r="AS99" t="str">
        <f t="shared" si="113"/>
        <v>-0,000338461538461538</v>
      </c>
      <c r="AT99" t="str">
        <f t="shared" si="114"/>
        <v>0,0000710152969261991i</v>
      </c>
      <c r="AU99">
        <f t="shared" si="139"/>
        <v>7.10152969261991e-5</v>
      </c>
      <c r="AV99">
        <f t="shared" si="140"/>
        <v>1.5707963267949</v>
      </c>
      <c r="AW99" t="str">
        <f t="shared" si="115"/>
        <v>1+0,011525519793563i</v>
      </c>
      <c r="AX99">
        <f t="shared" si="141"/>
        <v>1.00006641659767</v>
      </c>
      <c r="AY99">
        <f t="shared" si="142"/>
        <v>0.0115250094934136</v>
      </c>
      <c r="AZ99" t="str">
        <f t="shared" si="116"/>
        <v>1+0,100607776101645i</v>
      </c>
      <c r="BA99">
        <f t="shared" si="143"/>
        <v>1.00504822004326</v>
      </c>
      <c r="BB99">
        <f t="shared" si="144"/>
        <v>0.100270374725868</v>
      </c>
      <c r="BC99" s="30" t="str">
        <f t="shared" si="145"/>
        <v>-0,424512945531125+4,77092981325846i</v>
      </c>
      <c r="BD99" s="32">
        <f t="shared" si="146"/>
        <v>13.6063094460336</v>
      </c>
      <c r="BE99" s="31">
        <f t="shared" si="147"/>
        <v>95.0847348791666</v>
      </c>
      <c r="BF99" s="30" t="str">
        <f t="shared" si="148"/>
        <v>2,59831648252635+71,3034408409511i</v>
      </c>
      <c r="BG99" s="68">
        <f t="shared" si="149"/>
        <v>37.0679728971118</v>
      </c>
      <c r="BH99" s="31">
        <f t="shared" si="150"/>
        <v>87.9130498701758</v>
      </c>
      <c r="BI99" s="30" t="str">
        <f t="shared" si="103"/>
        <v>-4,3254863859272+360,403137450617i</v>
      </c>
      <c r="BJ99" s="68">
        <f t="shared" si="151"/>
        <v>51.1363967871805</v>
      </c>
      <c r="BK99" s="31">
        <f t="shared" si="104"/>
        <v>90.6876194739193</v>
      </c>
      <c r="BL99" s="32">
        <f t="shared" si="152"/>
        <v>37.0679728971118</v>
      </c>
      <c r="BM99" s="31">
        <f t="shared" si="153"/>
        <v>87.9130498701758</v>
      </c>
      <c r="BO99">
        <f t="shared" si="154"/>
        <v>0</v>
      </c>
      <c r="BP99">
        <f t="shared" si="155"/>
        <v>0</v>
      </c>
    </row>
    <row r="100" spans="14:68">
      <c r="N100" s="7">
        <v>82</v>
      </c>
      <c r="O100" s="18">
        <f t="shared" si="117"/>
        <v>66.0693448007596</v>
      </c>
      <c r="P100" s="86" t="str">
        <f t="shared" si="105"/>
        <v>15</v>
      </c>
      <c r="Q100" s="4" t="str">
        <f t="shared" si="106"/>
        <v>1+0,121078398147908i</v>
      </c>
      <c r="R100" s="4">
        <f t="shared" si="118"/>
        <v>1.00730332000747</v>
      </c>
      <c r="S100" s="4">
        <f t="shared" si="119"/>
        <v>0.120491879672999</v>
      </c>
      <c r="T100" s="4" t="str">
        <f t="shared" si="107"/>
        <v>1+0,000083025187301423i</v>
      </c>
      <c r="U100" s="4">
        <f t="shared" si="120"/>
        <v>1.00000000344659</v>
      </c>
      <c r="V100" s="4">
        <f t="shared" si="121"/>
        <v>8.30251871106538e-5</v>
      </c>
      <c r="W100" t="str">
        <f t="shared" si="108"/>
        <v>1-0,00726470388887452i</v>
      </c>
      <c r="X100" s="4">
        <f t="shared" si="122"/>
        <v>1.00002638761314</v>
      </c>
      <c r="Y100" s="4">
        <f t="shared" si="123"/>
        <v>-0.00726457609243787</v>
      </c>
      <c r="Z100" t="str">
        <f t="shared" si="109"/>
        <v>0,999999968958874+0,000385474083899463i</v>
      </c>
      <c r="AA100" s="4">
        <f t="shared" si="124"/>
        <v>1.00000004325401</v>
      </c>
      <c r="AB100" s="4">
        <f t="shared" si="125"/>
        <v>0.000385474076772447</v>
      </c>
      <c r="AC100" s="67" t="str">
        <f t="shared" si="126"/>
        <v>14,7696990090107-1,90179877924415i</v>
      </c>
      <c r="AD100" s="68">
        <f t="shared" si="127"/>
        <v>23.45884872502</v>
      </c>
      <c r="AE100" s="31">
        <f t="shared" si="128"/>
        <v>-7.33723476580537</v>
      </c>
      <c r="AF100" s="32" t="str">
        <f t="shared" si="129"/>
        <v>75,4669735059805</v>
      </c>
      <c r="AG100" s="32" t="str">
        <f t="shared" si="110"/>
        <v>1+0,0778361130950841i</v>
      </c>
      <c r="AH100" s="32">
        <f t="shared" si="130"/>
        <v>1.00302465597898</v>
      </c>
      <c r="AI100" s="32">
        <f t="shared" si="131"/>
        <v>0.077679493022417</v>
      </c>
      <c r="AJ100" s="32" t="str">
        <f t="shared" si="111"/>
        <v>1+0,000083025187301423i</v>
      </c>
      <c r="AK100" s="32">
        <f t="shared" si="132"/>
        <v>1.00000000344659</v>
      </c>
      <c r="AL100" s="32">
        <f t="shared" si="133"/>
        <v>8.30251871106538e-5</v>
      </c>
      <c r="AM100" s="32" t="str">
        <f t="shared" si="112"/>
        <v>1-0,000928249813253171i</v>
      </c>
      <c r="AN100" s="32">
        <f t="shared" si="134"/>
        <v>1.00000043082377</v>
      </c>
      <c r="AO100" s="32">
        <f t="shared" si="135"/>
        <v>-0.000928249546645198</v>
      </c>
      <c r="AP100" s="30" t="str">
        <f t="shared" si="136"/>
        <v>75,0075839407531-5,90208533105478i</v>
      </c>
      <c r="AQ100" s="32">
        <f t="shared" si="137"/>
        <v>37.5289102674314</v>
      </c>
      <c r="AR100" s="31">
        <f t="shared" si="138"/>
        <v>-4.4991348934434</v>
      </c>
      <c r="AS100" t="str">
        <f t="shared" si="113"/>
        <v>-0,000338461538461538</v>
      </c>
      <c r="AT100" t="str">
        <f t="shared" si="114"/>
        <v>0,0000726694556893165i</v>
      </c>
      <c r="AU100">
        <f t="shared" si="139"/>
        <v>7.26694556893165e-5</v>
      </c>
      <c r="AV100">
        <f t="shared" si="140"/>
        <v>1.5707963267949</v>
      </c>
      <c r="AW100" t="str">
        <f t="shared" si="115"/>
        <v>1+0,0117939836371462i</v>
      </c>
      <c r="AX100">
        <f t="shared" si="141"/>
        <v>1.00006954660665</v>
      </c>
      <c r="AY100">
        <f t="shared" si="142"/>
        <v>0.0117934368427383</v>
      </c>
      <c r="AZ100" t="str">
        <f t="shared" si="116"/>
        <v>1+0,102951232253764i</v>
      </c>
      <c r="BA100">
        <f t="shared" si="143"/>
        <v>1.00528550980434</v>
      </c>
      <c r="BB100">
        <f t="shared" si="144"/>
        <v>0.102589802748655</v>
      </c>
      <c r="BC100" s="30" t="str">
        <f t="shared" si="145"/>
        <v>-0,424510288261427+4,66255549930669i</v>
      </c>
      <c r="BD100" s="32">
        <f t="shared" si="146"/>
        <v>13.4083327391122</v>
      </c>
      <c r="BE100" s="31">
        <f t="shared" si="147"/>
        <v>95.2022485615346</v>
      </c>
      <c r="BF100" s="30" t="str">
        <f t="shared" si="148"/>
        <v>2,59735317288992+69,6718744855596i</v>
      </c>
      <c r="BG100" s="68">
        <f t="shared" si="149"/>
        <v>36.8671814641321</v>
      </c>
      <c r="BH100" s="31">
        <f t="shared" si="150"/>
        <v>87.8650137957292</v>
      </c>
      <c r="BI100" s="30" t="str">
        <f t="shared" si="103"/>
        <v>-4,32269066279547+352,232518937896i</v>
      </c>
      <c r="BJ100" s="68">
        <f t="shared" si="151"/>
        <v>50.9372430065436</v>
      </c>
      <c r="BK100" s="31">
        <f t="shared" si="104"/>
        <v>90.7031136680912</v>
      </c>
      <c r="BL100" s="32">
        <f t="shared" si="152"/>
        <v>36.8671814641321</v>
      </c>
      <c r="BM100" s="31">
        <f t="shared" si="153"/>
        <v>87.8650137957292</v>
      </c>
      <c r="BO100">
        <f t="shared" si="154"/>
        <v>0</v>
      </c>
      <c r="BP100">
        <f t="shared" si="155"/>
        <v>0</v>
      </c>
    </row>
    <row r="101" spans="14:68">
      <c r="N101" s="7">
        <v>83</v>
      </c>
      <c r="O101" s="18">
        <f t="shared" si="117"/>
        <v>67.6082975391982</v>
      </c>
      <c r="P101" s="86" t="str">
        <f t="shared" si="105"/>
        <v>15</v>
      </c>
      <c r="Q101" s="4" t="str">
        <f t="shared" si="106"/>
        <v>1+0,123898676341334i</v>
      </c>
      <c r="R101" s="4">
        <f t="shared" si="118"/>
        <v>1.00764620874548</v>
      </c>
      <c r="S101" s="4">
        <f t="shared" si="119"/>
        <v>0.123270467749221</v>
      </c>
      <c r="T101" s="4" t="str">
        <f t="shared" si="107"/>
        <v>1+0,0000849590923483432i</v>
      </c>
      <c r="U101" s="4">
        <f t="shared" si="120"/>
        <v>1.00000000360902</v>
      </c>
      <c r="V101" s="4">
        <f t="shared" si="121"/>
        <v>8.49590921439303e-5</v>
      </c>
      <c r="W101" t="str">
        <f t="shared" si="108"/>
        <v>1-0,00743392058048004i</v>
      </c>
      <c r="X101" s="4">
        <f t="shared" si="122"/>
        <v>1.00002763120586</v>
      </c>
      <c r="Y101" s="4">
        <f t="shared" si="123"/>
        <v>-0.00743378364433538</v>
      </c>
      <c r="Z101" t="str">
        <f t="shared" si="109"/>
        <v>0,999999967495951+0,000394452928760164i</v>
      </c>
      <c r="AA101" s="4">
        <f t="shared" si="124"/>
        <v>1.00000004529251</v>
      </c>
      <c r="AB101" s="4">
        <f t="shared" si="125"/>
        <v>0.000394452921123429</v>
      </c>
      <c r="AC101" s="67" t="str">
        <f t="shared" si="126"/>
        <v>14,7590093533907-1,94477292888016i</v>
      </c>
      <c r="AD101" s="68">
        <f t="shared" si="127"/>
        <v>23.455903313252</v>
      </c>
      <c r="AE101" s="31">
        <f t="shared" si="128"/>
        <v>-7.50653465945359</v>
      </c>
      <c r="AF101" s="32" t="str">
        <f t="shared" si="129"/>
        <v>75,4669735059805</v>
      </c>
      <c r="AG101" s="32" t="str">
        <f t="shared" si="110"/>
        <v>1+0,0796491490765718i</v>
      </c>
      <c r="AH101" s="32">
        <f t="shared" si="130"/>
        <v>1.00316697859759</v>
      </c>
      <c r="AI101" s="32">
        <f t="shared" si="131"/>
        <v>0.0794813562462483</v>
      </c>
      <c r="AJ101" s="32" t="str">
        <f t="shared" si="111"/>
        <v>1+0,0000849590923483432i</v>
      </c>
      <c r="AK101" s="32">
        <f t="shared" si="132"/>
        <v>1.00000000360902</v>
      </c>
      <c r="AL101" s="32">
        <f t="shared" si="133"/>
        <v>8.49590921439303e-5</v>
      </c>
      <c r="AM101" s="32" t="str">
        <f t="shared" si="112"/>
        <v>1-0,000949871528987888i</v>
      </c>
      <c r="AN101" s="32">
        <f t="shared" si="134"/>
        <v>1.00000045112786</v>
      </c>
      <c r="AO101" s="32">
        <f t="shared" si="135"/>
        <v>-0.000949871243312305</v>
      </c>
      <c r="AP101" s="30" t="str">
        <f t="shared" si="136"/>
        <v>74,9860700613245-6,03784899692156i</v>
      </c>
      <c r="AQ101" s="32">
        <f t="shared" si="137"/>
        <v>37.5276780618746</v>
      </c>
      <c r="AR101" s="31">
        <f t="shared" si="138"/>
        <v>-4.60350207879732</v>
      </c>
      <c r="AS101" t="str">
        <f t="shared" si="113"/>
        <v>-0,000338461538461538</v>
      </c>
      <c r="AT101" t="str">
        <f t="shared" si="114"/>
        <v>0,0000743621447597343i</v>
      </c>
      <c r="AU101">
        <f t="shared" si="139"/>
        <v>7.43621447597343e-5</v>
      </c>
      <c r="AV101">
        <f t="shared" si="140"/>
        <v>1.5707963267949</v>
      </c>
      <c r="AW101" t="str">
        <f t="shared" si="115"/>
        <v>1+0,0120687008069656i</v>
      </c>
      <c r="AX101">
        <f t="shared" si="141"/>
        <v>1.00007282411791</v>
      </c>
      <c r="AY101">
        <f t="shared" si="142"/>
        <v>0.0120681149085058</v>
      </c>
      <c r="AZ101" t="str">
        <f t="shared" si="116"/>
        <v>1+0,105349274511946i</v>
      </c>
      <c r="BA101">
        <f t="shared" si="143"/>
        <v>1.00553392267004</v>
      </c>
      <c r="BB101">
        <f t="shared" si="144"/>
        <v>0.104962110839871</v>
      </c>
      <c r="BC101" s="30" t="str">
        <f t="shared" si="145"/>
        <v>-0,424507505794124+4,55665333104249i</v>
      </c>
      <c r="BD101" s="32">
        <f t="shared" si="146"/>
        <v>13.2104503501165</v>
      </c>
      <c r="BE101" s="31">
        <f t="shared" si="147"/>
        <v>95.3224339089727</v>
      </c>
      <c r="BF101" s="30" t="str">
        <f t="shared" si="148"/>
        <v>2,59634579590301+68,0772598383898i</v>
      </c>
      <c r="BG101" s="68">
        <f t="shared" si="149"/>
        <v>36.6663536633685</v>
      </c>
      <c r="BH101" s="31">
        <f t="shared" si="150"/>
        <v>87.8158992495191</v>
      </c>
      <c r="BI101" s="30" t="str">
        <f t="shared" si="103"/>
        <v>-4,31976482688211+344,248638144765i</v>
      </c>
      <c r="BJ101" s="68">
        <f t="shared" si="151"/>
        <v>50.7381284119911</v>
      </c>
      <c r="BK101" s="31">
        <f t="shared" si="104"/>
        <v>90.7189318301754</v>
      </c>
      <c r="BL101" s="32">
        <f t="shared" si="152"/>
        <v>36.6663536633685</v>
      </c>
      <c r="BM101" s="31">
        <f t="shared" si="153"/>
        <v>87.8158992495191</v>
      </c>
      <c r="BO101">
        <f t="shared" si="154"/>
        <v>0</v>
      </c>
      <c r="BP101">
        <f t="shared" si="155"/>
        <v>0</v>
      </c>
    </row>
    <row r="102" spans="14:68">
      <c r="N102" s="7">
        <v>84</v>
      </c>
      <c r="O102" s="18">
        <f t="shared" si="117"/>
        <v>69.1830970918937</v>
      </c>
      <c r="P102" s="86" t="str">
        <f t="shared" si="105"/>
        <v>15</v>
      </c>
      <c r="Q102" s="4" t="str">
        <f t="shared" si="106"/>
        <v>1+0,126784647252948i</v>
      </c>
      <c r="R102" s="4">
        <f t="shared" si="118"/>
        <v>1.00800513231781</v>
      </c>
      <c r="S102" s="4">
        <f t="shared" si="119"/>
        <v>0.126111798000418</v>
      </c>
      <c r="T102" s="4" t="str">
        <f t="shared" si="107"/>
        <v>1+0,000086938043830593i</v>
      </c>
      <c r="U102" s="4">
        <f t="shared" si="120"/>
        <v>1.00000000377911</v>
      </c>
      <c r="V102" s="4">
        <f t="shared" si="121"/>
        <v>8.69380436115606e-5</v>
      </c>
      <c r="W102" t="str">
        <f t="shared" si="108"/>
        <v>1-0,00760707883517689i</v>
      </c>
      <c r="X102" s="4">
        <f t="shared" si="122"/>
        <v>1.00002893340563</v>
      </c>
      <c r="Y102" s="4">
        <f t="shared" si="123"/>
        <v>-0.00760693210568358</v>
      </c>
      <c r="Z102" t="str">
        <f t="shared" si="109"/>
        <v>0,999999965964082+0,000403640917784895i</v>
      </c>
      <c r="AA102" s="4">
        <f t="shared" si="124"/>
        <v>1.00000004742708</v>
      </c>
      <c r="AB102" s="4">
        <f t="shared" si="125"/>
        <v>0.000403640909601986</v>
      </c>
      <c r="AC102" s="67" t="str">
        <f t="shared" si="126"/>
        <v>14,7478314910217-1,98865532786287i</v>
      </c>
      <c r="AD102" s="68">
        <f t="shared" si="127"/>
        <v>23.4528212437007</v>
      </c>
      <c r="AE102" s="31">
        <f t="shared" si="128"/>
        <v>-7.67966461450947</v>
      </c>
      <c r="AF102" s="32" t="str">
        <f t="shared" si="129"/>
        <v>75,4669735059805</v>
      </c>
      <c r="AG102" s="32" t="str">
        <f t="shared" si="110"/>
        <v>1+0,081504416091181i</v>
      </c>
      <c r="AH102" s="32">
        <f t="shared" si="130"/>
        <v>1.00331598703617</v>
      </c>
      <c r="AI102" s="32">
        <f t="shared" si="131"/>
        <v>0.0813246549118822</v>
      </c>
      <c r="AJ102" s="32" t="str">
        <f t="shared" si="111"/>
        <v>1+0,000086938043830593i</v>
      </c>
      <c r="AK102" s="32">
        <f t="shared" si="132"/>
        <v>1.00000000377911</v>
      </c>
      <c r="AL102" s="32">
        <f t="shared" si="133"/>
        <v>8.69380436115606e-5</v>
      </c>
      <c r="AM102" s="32" t="str">
        <f t="shared" si="112"/>
        <v>1-0,000971996879180311i</v>
      </c>
      <c r="AN102" s="32">
        <f t="shared" si="134"/>
        <v>1.00000047238886</v>
      </c>
      <c r="AO102" s="32">
        <f t="shared" si="135"/>
        <v>-0.000971996573073417</v>
      </c>
      <c r="AP102" s="30" t="str">
        <f t="shared" si="136"/>
        <v>74,9635553448079-6,17665351817607i</v>
      </c>
      <c r="AQ102" s="32">
        <f t="shared" si="137"/>
        <v>37.526388158969</v>
      </c>
      <c r="AR102" s="31">
        <f t="shared" si="138"/>
        <v>-4.71026961516893</v>
      </c>
      <c r="AS102" t="str">
        <f t="shared" si="113"/>
        <v>-0,000338461538461538</v>
      </c>
      <c r="AT102" t="str">
        <f t="shared" si="114"/>
        <v>0,0000760942616236031i</v>
      </c>
      <c r="AU102">
        <f t="shared" si="139"/>
        <v>7.60942616236031e-5</v>
      </c>
      <c r="AV102">
        <f t="shared" si="140"/>
        <v>1.5707963267949</v>
      </c>
      <c r="AW102" t="str">
        <f t="shared" si="115"/>
        <v>1+0,012349816961701i</v>
      </c>
      <c r="AX102">
        <f t="shared" si="141"/>
        <v>1.000076256082</v>
      </c>
      <c r="AY102">
        <f t="shared" si="142"/>
        <v>0.0123491891627758</v>
      </c>
      <c r="AZ102" t="str">
        <f t="shared" si="116"/>
        <v>1+0,107803174349935i</v>
      </c>
      <c r="BA102">
        <f t="shared" si="143"/>
        <v>1.00579397711456</v>
      </c>
      <c r="BB102">
        <f t="shared" si="144"/>
        <v>0.107388449962438</v>
      </c>
      <c r="BC102" s="30" t="str">
        <f t="shared" si="145"/>
        <v>-0,424504592232264+4,45316715752331i</v>
      </c>
      <c r="BD102" s="32">
        <f t="shared" si="146"/>
        <v>13.0126666251958</v>
      </c>
      <c r="BE102" s="31">
        <f t="shared" si="147"/>
        <v>95.4453485318638</v>
      </c>
      <c r="BF102" s="30" t="str">
        <f t="shared" si="148"/>
        <v>2,59529240026637+66,5187521595508i</v>
      </c>
      <c r="BG102" s="68">
        <f t="shared" si="149"/>
        <v>36.4654878688965</v>
      </c>
      <c r="BH102" s="31">
        <f t="shared" si="150"/>
        <v>87.7656839173543</v>
      </c>
      <c r="BI102" s="30" t="str">
        <f t="shared" si="103"/>
        <v>-4,31670290338595+336,447260455773i</v>
      </c>
      <c r="BJ102" s="68">
        <f t="shared" si="151"/>
        <v>50.5390547841649</v>
      </c>
      <c r="BK102" s="31">
        <f t="shared" si="104"/>
        <v>90.7350789166948</v>
      </c>
      <c r="BL102" s="32">
        <f t="shared" si="152"/>
        <v>36.4654878688965</v>
      </c>
      <c r="BM102" s="31">
        <f t="shared" si="153"/>
        <v>87.7656839173543</v>
      </c>
      <c r="BO102">
        <f t="shared" si="154"/>
        <v>0</v>
      </c>
      <c r="BP102">
        <f t="shared" si="155"/>
        <v>0</v>
      </c>
    </row>
    <row r="103" spans="14:68">
      <c r="N103" s="7">
        <v>85</v>
      </c>
      <c r="O103" s="18">
        <f t="shared" si="117"/>
        <v>70.7945784384139</v>
      </c>
      <c r="P103" s="86" t="str">
        <f t="shared" si="105"/>
        <v>15</v>
      </c>
      <c r="Q103" s="4" t="str">
        <f t="shared" si="106"/>
        <v>1+0,129737841062729i</v>
      </c>
      <c r="R103" s="4">
        <f t="shared" si="118"/>
        <v>1.00838083450828</v>
      </c>
      <c r="S103" s="4">
        <f t="shared" si="119"/>
        <v>0.129017193331433</v>
      </c>
      <c r="T103" s="4" t="str">
        <f t="shared" si="107"/>
        <v>1+0,000088963091014443i</v>
      </c>
      <c r="U103" s="4">
        <f t="shared" si="120"/>
        <v>1.00000000395722</v>
      </c>
      <c r="V103" s="4">
        <f t="shared" si="121"/>
        <v>8.89630907797456e-5</v>
      </c>
      <c r="W103" t="str">
        <f t="shared" si="108"/>
        <v>1-0,00778427046376377i</v>
      </c>
      <c r="X103" s="4">
        <f t="shared" si="122"/>
        <v>1.00003029697437</v>
      </c>
      <c r="Y103" s="4">
        <f t="shared" si="123"/>
        <v>-0.0077841132405363</v>
      </c>
      <c r="Z103" t="str">
        <f t="shared" si="109"/>
        <v>0,999999964360019+0,000413042922567056i</v>
      </c>
      <c r="AA103" s="4">
        <f t="shared" si="124"/>
        <v>1.00000004966225</v>
      </c>
      <c r="AB103" s="4">
        <f t="shared" si="125"/>
        <v>0.000413042913798911</v>
      </c>
      <c r="AC103" s="67" t="str">
        <f t="shared" si="126"/>
        <v>14,7361438801824-2,03346073513065i</v>
      </c>
      <c r="AD103" s="68">
        <f t="shared" si="127"/>
        <v>23.4495962804465</v>
      </c>
      <c r="AE103" s="31">
        <f t="shared" si="128"/>
        <v>-7.85670590453349</v>
      </c>
      <c r="AF103" s="32" t="str">
        <f t="shared" si="129"/>
        <v>75,4669735059805</v>
      </c>
      <c r="AG103" s="32" t="str">
        <f t="shared" si="110"/>
        <v>1+0,0834028978260404i</v>
      </c>
      <c r="AH103" s="32">
        <f t="shared" si="130"/>
        <v>1.00347199431064</v>
      </c>
      <c r="AI103" s="32">
        <f t="shared" si="131"/>
        <v>0.0832103162281935</v>
      </c>
      <c r="AJ103" s="32" t="str">
        <f t="shared" si="111"/>
        <v>1+0,000088963091014443i</v>
      </c>
      <c r="AK103" s="32">
        <f t="shared" si="132"/>
        <v>1.00000000395722</v>
      </c>
      <c r="AL103" s="32">
        <f t="shared" si="133"/>
        <v>8.89630907797456e-5</v>
      </c>
      <c r="AM103" s="32" t="str">
        <f t="shared" si="112"/>
        <v>1-0,000994637594983976i</v>
      </c>
      <c r="AN103" s="32">
        <f t="shared" si="134"/>
        <v>1.00000049465185</v>
      </c>
      <c r="AO103" s="32">
        <f t="shared" si="135"/>
        <v>-0.000994637266984538</v>
      </c>
      <c r="AP103" s="30" t="str">
        <f t="shared" si="136"/>
        <v>74,9399938724331-6,31856116582274i</v>
      </c>
      <c r="AQ103" s="32">
        <f t="shared" si="137"/>
        <v>37.5250378754296</v>
      </c>
      <c r="AR103" s="31">
        <f t="shared" si="138"/>
        <v>-4.81949123973495</v>
      </c>
      <c r="AS103" t="str">
        <f t="shared" si="113"/>
        <v>-0,000338461538461538</v>
      </c>
      <c r="AT103" t="str">
        <f t="shared" si="114"/>
        <v>0,0000778667246722115i</v>
      </c>
      <c r="AU103">
        <f t="shared" si="139"/>
        <v>7.78667246722115e-5</v>
      </c>
      <c r="AV103">
        <f t="shared" si="140"/>
        <v>1.5707963267949</v>
      </c>
      <c r="AW103" t="str">
        <f t="shared" si="115"/>
        <v>1+0,0126374811528586i</v>
      </c>
      <c r="AX103">
        <f t="shared" si="141"/>
        <v>1.00007984977695</v>
      </c>
      <c r="AY103">
        <f t="shared" si="142"/>
        <v>0.0126368084570912</v>
      </c>
      <c r="AZ103" t="str">
        <f t="shared" si="116"/>
        <v>1+0,110314232857909i</v>
      </c>
      <c r="BA103">
        <f t="shared" si="143"/>
        <v>1.00606621550027</v>
      </c>
      <c r="BB103">
        <f t="shared" si="144"/>
        <v>0.10986999225797</v>
      </c>
      <c r="BC103" s="30" t="str">
        <f t="shared" si="145"/>
        <v>-0,424501541401333+4,35204210878373i</v>
      </c>
      <c r="BD103" s="32">
        <f t="shared" si="146"/>
        <v>12.8149861059477</v>
      </c>
      <c r="BE103" s="31">
        <f t="shared" si="147"/>
        <v>95.5710510604102</v>
      </c>
      <c r="BF103" s="30" t="str">
        <f t="shared" si="148"/>
        <v>2,59419095439766+64,9955259040915i</v>
      </c>
      <c r="BG103" s="68">
        <f t="shared" si="149"/>
        <v>36.2645823863942</v>
      </c>
      <c r="BH103" s="31">
        <f t="shared" si="150"/>
        <v>87.7143451558767</v>
      </c>
      <c r="BI103" s="30" t="str">
        <f t="shared" si="103"/>
        <v>-4,31349865086812+328,824247919154i</v>
      </c>
      <c r="BJ103" s="68">
        <f t="shared" si="151"/>
        <v>50.3400239813774</v>
      </c>
      <c r="BK103" s="31">
        <f t="shared" si="104"/>
        <v>90.7515598206752</v>
      </c>
      <c r="BL103" s="32">
        <f t="shared" si="152"/>
        <v>36.2645823863942</v>
      </c>
      <c r="BM103" s="31">
        <f t="shared" si="153"/>
        <v>87.7143451558767</v>
      </c>
      <c r="BO103">
        <f t="shared" si="154"/>
        <v>0</v>
      </c>
      <c r="BP103">
        <f t="shared" si="155"/>
        <v>0</v>
      </c>
    </row>
    <row r="104" spans="14:68">
      <c r="N104" s="7">
        <v>86</v>
      </c>
      <c r="O104" s="18">
        <f t="shared" si="117"/>
        <v>72.443596007499</v>
      </c>
      <c r="P104" s="86" t="str">
        <f t="shared" si="105"/>
        <v>15</v>
      </c>
      <c r="Q104" s="4" t="str">
        <f t="shared" si="106"/>
        <v>1+0,132759823593125i</v>
      </c>
      <c r="R104" s="4">
        <f t="shared" si="118"/>
        <v>1.00877409302602</v>
      </c>
      <c r="S104" s="4">
        <f t="shared" si="119"/>
        <v>0.131987997913876</v>
      </c>
      <c r="T104" s="4" t="str">
        <f t="shared" si="107"/>
        <v>1+0,0000910353076067142i</v>
      </c>
      <c r="U104" s="4">
        <f t="shared" si="120"/>
        <v>1.00000000414371</v>
      </c>
      <c r="V104" s="4">
        <f t="shared" si="121"/>
        <v>9.10353073552314e-5</v>
      </c>
      <c r="W104" t="str">
        <f t="shared" si="108"/>
        <v>1-0,0079655894155875i</v>
      </c>
      <c r="X104" s="4">
        <f t="shared" si="122"/>
        <v>1.00003172480414</v>
      </c>
      <c r="Y104" s="4">
        <f t="shared" si="123"/>
        <v>-0.00796542094815268</v>
      </c>
      <c r="Z104" t="str">
        <f t="shared" si="109"/>
        <v>0,999999962680358+0,000422663928174029i</v>
      </c>
      <c r="AA104" s="4">
        <f t="shared" si="124"/>
        <v>1.00000005200276</v>
      </c>
      <c r="AB104" s="4">
        <f t="shared" si="125"/>
        <v>0.000422663918778792</v>
      </c>
      <c r="AC104" s="67" t="str">
        <f t="shared" si="126"/>
        <v>14,7239241001472-2,07920382392137i</v>
      </c>
      <c r="AD104" s="68">
        <f t="shared" si="127"/>
        <v>23.4462219129253</v>
      </c>
      <c r="AE104" s="31">
        <f t="shared" si="128"/>
        <v>-8.03774114902119</v>
      </c>
      <c r="AF104" s="32" t="str">
        <f t="shared" si="129"/>
        <v>75,4669735059805</v>
      </c>
      <c r="AG104" s="32" t="str">
        <f t="shared" si="110"/>
        <v>1+0,0853456008812946i</v>
      </c>
      <c r="AH104" s="32">
        <f t="shared" si="130"/>
        <v>1.0036353279901</v>
      </c>
      <c r="AI104" s="32">
        <f t="shared" si="131"/>
        <v>0.0851392863288616</v>
      </c>
      <c r="AJ104" s="32" t="str">
        <f t="shared" si="111"/>
        <v>1+0,0000910353076067142i</v>
      </c>
      <c r="AK104" s="32">
        <f t="shared" si="132"/>
        <v>1.00000000414371</v>
      </c>
      <c r="AL104" s="32">
        <f t="shared" si="133"/>
        <v>9.10353073552314e-5</v>
      </c>
      <c r="AM104" s="32" t="str">
        <f t="shared" si="112"/>
        <v>1-0,00101780568080608i</v>
      </c>
      <c r="AN104" s="32">
        <f t="shared" si="134"/>
        <v>1.00000051796407</v>
      </c>
      <c r="AO104" s="32">
        <f t="shared" si="135"/>
        <v>-0.00101780532934836</v>
      </c>
      <c r="AP104" s="30" t="str">
        <f t="shared" si="136"/>
        <v>74,9153376799912-6,4636350647243i</v>
      </c>
      <c r="AQ104" s="32">
        <f t="shared" si="137"/>
        <v>37.5236244049402</v>
      </c>
      <c r="AR104" s="31">
        <f t="shared" si="138"/>
        <v>-4.93122178823909</v>
      </c>
      <c r="AS104" t="str">
        <f t="shared" si="113"/>
        <v>-0,000338461538461538</v>
      </c>
      <c r="AT104" t="str">
        <f t="shared" si="114"/>
        <v>0,0000796804736889288i</v>
      </c>
      <c r="AU104">
        <f t="shared" si="139"/>
        <v>7.96804736889288e-5</v>
      </c>
      <c r="AV104">
        <f t="shared" si="140"/>
        <v>1.5707963267949</v>
      </c>
      <c r="AW104" t="str">
        <f t="shared" si="115"/>
        <v>1+0,0129318459038003i</v>
      </c>
      <c r="AX104">
        <f t="shared" si="141"/>
        <v>1.00008361282369</v>
      </c>
      <c r="AY104">
        <f t="shared" si="142"/>
        <v>0.0129311251005537</v>
      </c>
      <c r="AZ104" t="str">
        <f t="shared" si="116"/>
        <v>1+0,112883781432326i</v>
      </c>
      <c r="BA104">
        <f t="shared" si="143"/>
        <v>1.00635120515179</v>
      </c>
      <c r="BB104">
        <f t="shared" si="144"/>
        <v>0.112407931154836</v>
      </c>
      <c r="BC104" s="30" t="str">
        <f t="shared" si="145"/>
        <v>-0,424498346836174+4,25322456674191i</v>
      </c>
      <c r="BD104" s="32">
        <f t="shared" si="146"/>
        <v>12.6174135377494</v>
      </c>
      <c r="BE104" s="31">
        <f t="shared" si="147"/>
        <v>95.6996011463519</v>
      </c>
      <c r="BF104" s="30" t="str">
        <f t="shared" si="148"/>
        <v>2,5930393437123+63,5067742875794i</v>
      </c>
      <c r="BG104" s="68">
        <f t="shared" si="149"/>
        <v>36.0636354506747</v>
      </c>
      <c r="BH104" s="31">
        <f t="shared" si="150"/>
        <v>87.6618599973307</v>
      </c>
      <c r="BI104" s="30" t="str">
        <f t="shared" si="103"/>
        <v>-4,31014555009017+321,375557045832i</v>
      </c>
      <c r="BJ104" s="68">
        <f t="shared" si="151"/>
        <v>50.1410379426896</v>
      </c>
      <c r="BK104" s="31">
        <f t="shared" si="104"/>
        <v>90.7683793581128</v>
      </c>
      <c r="BL104" s="32">
        <f t="shared" si="152"/>
        <v>36.0636354506747</v>
      </c>
      <c r="BM104" s="31">
        <f t="shared" si="153"/>
        <v>87.6618599973307</v>
      </c>
      <c r="BO104">
        <f t="shared" si="154"/>
        <v>0</v>
      </c>
      <c r="BP104">
        <f t="shared" si="155"/>
        <v>0</v>
      </c>
    </row>
    <row r="105" spans="14:68">
      <c r="N105" s="7">
        <v>87</v>
      </c>
      <c r="O105" s="18">
        <f t="shared" si="117"/>
        <v>74.1310241300918</v>
      </c>
      <c r="P105" s="86" t="str">
        <f t="shared" si="105"/>
        <v>15</v>
      </c>
      <c r="Q105" s="4" t="str">
        <f t="shared" si="106"/>
        <v>1+0,135852197139274i</v>
      </c>
      <c r="R105" s="4">
        <f t="shared" si="118"/>
        <v>1.00918572099865</v>
      </c>
      <c r="S105" s="4">
        <f t="shared" si="119"/>
        <v>0.135025577041457</v>
      </c>
      <c r="T105" s="4" t="str">
        <f t="shared" si="107"/>
        <v>1+0,0000931557923240736i</v>
      </c>
      <c r="U105" s="4">
        <f t="shared" si="120"/>
        <v>1.000000004339</v>
      </c>
      <c r="V105" s="4">
        <f t="shared" si="121"/>
        <v>9.31557920546049e-5</v>
      </c>
      <c r="W105" t="str">
        <f t="shared" si="108"/>
        <v>1-0,00815113182835645i</v>
      </c>
      <c r="X105" s="4">
        <f t="shared" si="122"/>
        <v>1.00003321992326</v>
      </c>
      <c r="Y105" s="4">
        <f t="shared" si="123"/>
        <v>-0.0081509513125716</v>
      </c>
      <c r="Z105" t="str">
        <f t="shared" si="109"/>
        <v>0,999999960921538+0,00043250903579034i</v>
      </c>
      <c r="AA105" s="4">
        <f t="shared" si="124"/>
        <v>1.00000005445357</v>
      </c>
      <c r="AB105" s="4">
        <f t="shared" si="125"/>
        <v>0.000432509025723162</v>
      </c>
      <c r="AC105" s="67" t="str">
        <f t="shared" si="126"/>
        <v>14,7111488221436-2,1258991523411i</v>
      </c>
      <c r="AD105" s="68">
        <f t="shared" si="127"/>
        <v>23.4426913447714</v>
      </c>
      <c r="AE105" s="31">
        <f t="shared" si="128"/>
        <v>-8.22285430807432</v>
      </c>
      <c r="AF105" s="32" t="str">
        <f t="shared" si="129"/>
        <v>75,4669735059805</v>
      </c>
      <c r="AG105" s="32" t="str">
        <f t="shared" si="110"/>
        <v>1+0,0873335553038191i</v>
      </c>
      <c r="AH105" s="32">
        <f t="shared" si="130"/>
        <v>1.00380633086368</v>
      </c>
      <c r="AI105" s="32">
        <f t="shared" si="131"/>
        <v>0.0871125305270142</v>
      </c>
      <c r="AJ105" s="32" t="str">
        <f t="shared" si="111"/>
        <v>1+0,0000931557923240736i</v>
      </c>
      <c r="AK105" s="32">
        <f t="shared" si="132"/>
        <v>1.000000004339</v>
      </c>
      <c r="AL105" s="32">
        <f t="shared" si="133"/>
        <v>9.31557920546049e-5</v>
      </c>
      <c r="AM105" s="32" t="str">
        <f t="shared" si="112"/>
        <v>1-0,00104151342067241i</v>
      </c>
      <c r="AN105" s="32">
        <f t="shared" si="134"/>
        <v>1.00000054237496</v>
      </c>
      <c r="AO105" s="32">
        <f t="shared" si="135"/>
        <v>-0.00104151304407869</v>
      </c>
      <c r="AP105" s="30" t="str">
        <f t="shared" si="136"/>
        <v>74,8895366726099-6,61193917268753i</v>
      </c>
      <c r="AQ105" s="32">
        <f t="shared" si="137"/>
        <v>37.522144812681</v>
      </c>
      <c r="AR105" s="31">
        <f t="shared" si="138"/>
        <v>-5.04551720991407</v>
      </c>
      <c r="AS105" t="str">
        <f t="shared" si="113"/>
        <v>-0,000338461538461538</v>
      </c>
      <c r="AT105" t="str">
        <f t="shared" si="114"/>
        <v>0,0000815364703474919i</v>
      </c>
      <c r="AU105">
        <f t="shared" si="139"/>
        <v>8.15364703474919e-5</v>
      </c>
      <c r="AV105">
        <f t="shared" si="140"/>
        <v>1.5707963267949</v>
      </c>
      <c r="AW105" t="str">
        <f t="shared" si="115"/>
        <v>1+0,0132330672906134i</v>
      </c>
      <c r="AX105">
        <f t="shared" si="141"/>
        <v>1.00008755320218</v>
      </c>
      <c r="AY105">
        <f t="shared" si="142"/>
        <v>0.0132322949396712</v>
      </c>
      <c r="AZ105" t="str">
        <f t="shared" si="116"/>
        <v>1+0,115513182481851i</v>
      </c>
      <c r="BA105">
        <f t="shared" si="143"/>
        <v>1.00664953947592</v>
      </c>
      <c r="BB105">
        <f t="shared" si="144"/>
        <v>0.115003481453282</v>
      </c>
      <c r="BC105" s="30" t="str">
        <f t="shared" si="145"/>
        <v>-0,424495001767323+4,15666213676922i</v>
      </c>
      <c r="BD105" s="32">
        <f t="shared" si="146"/>
        <v>12.4199538783985</v>
      </c>
      <c r="BE105" s="31">
        <f t="shared" si="147"/>
        <v>95.8310594632686</v>
      </c>
      <c r="BF105" s="30" t="str">
        <f t="shared" si="148"/>
        <v>2,59183536787083+62,0517088618116i</v>
      </c>
      <c r="BG105" s="68">
        <f t="shared" si="149"/>
        <v>35.8626452231699</v>
      </c>
      <c r="BH105" s="31">
        <f t="shared" si="150"/>
        <v>87.6082051551943</v>
      </c>
      <c r="BI105" s="30" t="str">
        <f t="shared" si="103"/>
        <v>-4,30663679246209+314,097236658023i</v>
      </c>
      <c r="BJ105" s="68">
        <f t="shared" si="151"/>
        <v>49.9420986910795</v>
      </c>
      <c r="BK105" s="31">
        <f t="shared" si="104"/>
        <v>90.7855422533545</v>
      </c>
      <c r="BL105" s="32">
        <f t="shared" si="152"/>
        <v>35.8626452231699</v>
      </c>
      <c r="BM105" s="31">
        <f t="shared" si="153"/>
        <v>87.6082051551943</v>
      </c>
      <c r="BO105">
        <f t="shared" si="154"/>
        <v>0</v>
      </c>
      <c r="BP105">
        <f t="shared" si="155"/>
        <v>0</v>
      </c>
    </row>
    <row r="106" spans="14:68">
      <c r="N106" s="7">
        <v>88</v>
      </c>
      <c r="O106" s="18">
        <f t="shared" si="117"/>
        <v>75.8577575029184</v>
      </c>
      <c r="P106" s="86" t="str">
        <f t="shared" si="105"/>
        <v>15</v>
      </c>
      <c r="Q106" s="4" t="str">
        <f t="shared" si="106"/>
        <v>1+0,139016601318563i</v>
      </c>
      <c r="R106" s="4">
        <f t="shared" si="118"/>
        <v>1.00961656852597</v>
      </c>
      <c r="S106" s="4">
        <f t="shared" si="119"/>
        <v>0.138131316941183</v>
      </c>
      <c r="T106" s="4" t="str">
        <f t="shared" si="107"/>
        <v>1+0,0000953256694755858i</v>
      </c>
      <c r="U106" s="4">
        <f t="shared" si="120"/>
        <v>1.00000000454349</v>
      </c>
      <c r="V106" s="4">
        <f t="shared" si="121"/>
        <v>9.53256691868449e-5</v>
      </c>
      <c r="W106" t="str">
        <f t="shared" si="108"/>
        <v>1-0,00834099607911376i</v>
      </c>
      <c r="X106" s="4">
        <f t="shared" si="122"/>
        <v>1.00003478550278</v>
      </c>
      <c r="Y106" s="4">
        <f t="shared" si="123"/>
        <v>-0.00834080265332878</v>
      </c>
      <c r="Z106" t="str">
        <f t="shared" si="109"/>
        <v>0,999999959079827+0,000442583465422361i</v>
      </c>
      <c r="AA106" s="4">
        <f t="shared" si="124"/>
        <v>1.00000005701989</v>
      </c>
      <c r="AB106" s="4">
        <f t="shared" si="125"/>
        <v>0.000442583454635186</v>
      </c>
      <c r="AC106" s="67" t="str">
        <f t="shared" si="126"/>
        <v>14,6977937800284-2,1735611316618i</v>
      </c>
      <c r="AD106" s="68">
        <f t="shared" si="127"/>
        <v>23.4389974822951</v>
      </c>
      <c r="AE106" s="31">
        <f t="shared" si="128"/>
        <v>-8.41213067461021</v>
      </c>
      <c r="AF106" s="32" t="str">
        <f t="shared" si="129"/>
        <v>75,4669735059805</v>
      </c>
      <c r="AG106" s="32" t="str">
        <f t="shared" si="110"/>
        <v>1+0,0893678151333617i</v>
      </c>
      <c r="AH106" s="32">
        <f t="shared" si="130"/>
        <v>1.00398536163717</v>
      </c>
      <c r="AI106" s="32">
        <f t="shared" si="131"/>
        <v>0.0891310335630772</v>
      </c>
      <c r="AJ106" s="32" t="str">
        <f t="shared" si="111"/>
        <v>1+0,0000953256694755858i</v>
      </c>
      <c r="AK106" s="32">
        <f t="shared" si="132"/>
        <v>1.00000000454349</v>
      </c>
      <c r="AL106" s="32">
        <f t="shared" si="133"/>
        <v>9.53256691868449e-5</v>
      </c>
      <c r="AM106" s="32" t="str">
        <f t="shared" si="112"/>
        <v>1-0,00106577338474043i</v>
      </c>
      <c r="AN106" s="32">
        <f t="shared" si="134"/>
        <v>1.00000056793629</v>
      </c>
      <c r="AO106" s="32">
        <f t="shared" si="135"/>
        <v>-0.001065772981213</v>
      </c>
      <c r="AP106" s="30" t="str">
        <f t="shared" si="136"/>
        <v>74,8625385365477-6,7635382563652i</v>
      </c>
      <c r="AQ106" s="32">
        <f t="shared" si="137"/>
        <v>37.5205960296281</v>
      </c>
      <c r="AR106" s="31">
        <f t="shared" si="138"/>
        <v>-5.16243458202213</v>
      </c>
      <c r="AS106" t="str">
        <f t="shared" si="113"/>
        <v>-0,000338461538461538</v>
      </c>
      <c r="AT106" t="str">
        <f t="shared" si="114"/>
        <v>0,0000834356987218959i</v>
      </c>
      <c r="AU106">
        <f t="shared" si="139"/>
        <v>8.34356987218959e-5</v>
      </c>
      <c r="AV106">
        <f t="shared" si="140"/>
        <v>1.5707963267949</v>
      </c>
      <c r="AW106" t="str">
        <f t="shared" si="115"/>
        <v>1+0,0135413050248644i</v>
      </c>
      <c r="AX106">
        <f t="shared" si="141"/>
        <v>1.00009167926834</v>
      </c>
      <c r="AY106">
        <f t="shared" si="142"/>
        <v>0.0135404774400168</v>
      </c>
      <c r="AZ106" t="str">
        <f t="shared" si="116"/>
        <v>1+0,118203830149726i</v>
      </c>
      <c r="BA106">
        <f t="shared" si="143"/>
        <v>1.006961839129</v>
      </c>
      <c r="BB106">
        <f t="shared" si="144"/>
        <v>0.117657879385469</v>
      </c>
      <c r="BC106" s="30" t="str">
        <f t="shared" si="145"/>
        <v>-0,424491499106741+4,06230361990866i</v>
      </c>
      <c r="BD106" s="32">
        <f t="shared" si="146"/>
        <v>12.2226123070732</v>
      </c>
      <c r="BE106" s="31">
        <f t="shared" si="147"/>
        <v>95.9654877053416</v>
      </c>
      <c r="BF106" s="30" t="str">
        <f t="shared" si="148"/>
        <v>2,59057673799651+60,6295591004596i</v>
      </c>
      <c r="BG106" s="68">
        <f t="shared" si="149"/>
        <v>35.6616097893683</v>
      </c>
      <c r="BH106" s="31">
        <f t="shared" si="150"/>
        <v>87.5533570307314</v>
      </c>
      <c r="BI106" s="30" t="str">
        <f t="shared" si="103"/>
        <v>-4,30296526809224+306,98542578628i</v>
      </c>
      <c r="BJ106" s="68">
        <f t="shared" si="151"/>
        <v>49.7432083367013</v>
      </c>
      <c r="BK106" s="31">
        <f t="shared" si="104"/>
        <v>90.8030531233195</v>
      </c>
      <c r="BL106" s="32">
        <f t="shared" si="152"/>
        <v>35.6616097893683</v>
      </c>
      <c r="BM106" s="31">
        <f t="shared" si="153"/>
        <v>87.5533570307314</v>
      </c>
      <c r="BO106">
        <f t="shared" si="154"/>
        <v>0</v>
      </c>
      <c r="BP106">
        <f t="shared" si="155"/>
        <v>0</v>
      </c>
    </row>
    <row r="107" spans="14:68">
      <c r="N107" s="7">
        <v>89</v>
      </c>
      <c r="O107" s="18">
        <f t="shared" si="117"/>
        <v>77.6247116628692</v>
      </c>
      <c r="P107" s="86" t="str">
        <f t="shared" si="105"/>
        <v>15</v>
      </c>
      <c r="Q107" s="4" t="str">
        <f t="shared" si="106"/>
        <v>1+0,142254713939973i</v>
      </c>
      <c r="R107" s="4">
        <f t="shared" si="118"/>
        <v>1.01006752429634</v>
      </c>
      <c r="S107" s="4">
        <f t="shared" si="119"/>
        <v>0.141306624537041</v>
      </c>
      <c r="T107" s="4" t="str">
        <f t="shared" si="107"/>
        <v>1+0,0000975460895588384i</v>
      </c>
      <c r="U107" s="4">
        <f t="shared" si="120"/>
        <v>1.00000000475762</v>
      </c>
      <c r="V107" s="4">
        <f t="shared" si="121"/>
        <v>9.75460892494469e-5</v>
      </c>
      <c r="W107" t="str">
        <f t="shared" si="108"/>
        <v>1-0,00853528283639837i</v>
      </c>
      <c r="X107" s="4">
        <f t="shared" si="122"/>
        <v>1.00003642486316</v>
      </c>
      <c r="Y107" s="4">
        <f t="shared" si="123"/>
        <v>-0.00853507557734335</v>
      </c>
      <c r="Z107" t="str">
        <f t="shared" si="109"/>
        <v>0,999999957151318+0,000452892558666034i</v>
      </c>
      <c r="AA107" s="4">
        <f t="shared" si="124"/>
        <v>1.00000005970715</v>
      </c>
      <c r="AB107" s="4">
        <f t="shared" si="125"/>
        <v>0.000452892547107368</v>
      </c>
      <c r="AC107" s="67" t="str">
        <f t="shared" si="126"/>
        <v>14,6838337407594-2,22220399222428i</v>
      </c>
      <c r="AD107" s="68">
        <f t="shared" si="127"/>
        <v>23.4351329225954</v>
      </c>
      <c r="AE107" s="31">
        <f t="shared" si="128"/>
        <v>-8.60565686391931</v>
      </c>
      <c r="AF107" s="32" t="str">
        <f t="shared" si="129"/>
        <v>75,4669735059805</v>
      </c>
      <c r="AG107" s="32" t="str">
        <f t="shared" si="110"/>
        <v>1+0,091449458961411i</v>
      </c>
      <c r="AH107" s="32">
        <f t="shared" si="130"/>
        <v>1.00417279566036</v>
      </c>
      <c r="AI107" s="32">
        <f t="shared" si="131"/>
        <v>0.0911957998448469</v>
      </c>
      <c r="AJ107" s="32" t="str">
        <f t="shared" si="111"/>
        <v>1+0,0000975460895588384i</v>
      </c>
      <c r="AK107" s="32">
        <f t="shared" si="132"/>
        <v>1.00000000475762</v>
      </c>
      <c r="AL107" s="32">
        <f t="shared" si="133"/>
        <v>9.75460892494469e-5</v>
      </c>
      <c r="AM107" s="32" t="str">
        <f t="shared" si="112"/>
        <v>1-0,00109059843596423i</v>
      </c>
      <c r="AN107" s="32">
        <f t="shared" si="134"/>
        <v>1.0000005947023</v>
      </c>
      <c r="AO107" s="32">
        <f t="shared" si="135"/>
        <v>-0.00109059800357681</v>
      </c>
      <c r="AP107" s="30" t="str">
        <f t="shared" si="136"/>
        <v>74,8342886479656-6,91849786373474i</v>
      </c>
      <c r="AQ107" s="32">
        <f t="shared" si="137"/>
        <v>37.5189748466187</v>
      </c>
      <c r="AR107" s="31">
        <f t="shared" si="138"/>
        <v>-5.28203212395788</v>
      </c>
      <c r="AS107" t="str">
        <f t="shared" si="113"/>
        <v>-0,000338461538461538</v>
      </c>
      <c r="AT107" t="str">
        <f t="shared" si="114"/>
        <v>0,0000853791658081644i</v>
      </c>
      <c r="AU107">
        <f t="shared" si="139"/>
        <v>8.53791658081644e-5</v>
      </c>
      <c r="AV107">
        <f t="shared" si="140"/>
        <v>1.5707963267949</v>
      </c>
      <c r="AW107" t="str">
        <f t="shared" si="115"/>
        <v>1+0,0138567225382799i</v>
      </c>
      <c r="AX107">
        <f t="shared" si="141"/>
        <v>1.00009599977177</v>
      </c>
      <c r="AY107">
        <f t="shared" si="142"/>
        <v>0.0138558357697363</v>
      </c>
      <c r="AZ107" t="str">
        <f t="shared" si="116"/>
        <v>1+0,12095715105296i</v>
      </c>
      <c r="BA107">
        <f t="shared" si="143"/>
        <v>1.00728875323357</v>
      </c>
      <c r="BB107">
        <f t="shared" si="144"/>
        <v>0.120372382648178</v>
      </c>
      <c r="BC107" s="30" t="str">
        <f t="shared" si="145"/>
        <v>-0,424487831432807+3,97009898572736i</v>
      </c>
      <c r="BD107" s="32">
        <f t="shared" si="146"/>
        <v>12.0253942336174</v>
      </c>
      <c r="BE107" s="31">
        <f t="shared" si="147"/>
        <v>96.102948584442</v>
      </c>
      <c r="BF107" s="30" t="str">
        <f t="shared" si="148"/>
        <v>2,58926107387406+59,2395719944387i</v>
      </c>
      <c r="BG107" s="68">
        <f t="shared" si="149"/>
        <v>35.4605271562128</v>
      </c>
      <c r="BH107" s="31">
        <f t="shared" si="150"/>
        <v>87.4972917205228</v>
      </c>
      <c r="BI107" s="30" t="str">
        <f t="shared" si="103"/>
        <v>-4,29912355342144+300,036351613866i</v>
      </c>
      <c r="BJ107" s="68">
        <f t="shared" si="151"/>
        <v>49.5443690802361</v>
      </c>
      <c r="BK107" s="31">
        <f t="shared" si="104"/>
        <v>90.8209164604842</v>
      </c>
      <c r="BL107" s="32">
        <f t="shared" si="152"/>
        <v>35.4605271562128</v>
      </c>
      <c r="BM107" s="31">
        <f t="shared" si="153"/>
        <v>87.4972917205228</v>
      </c>
      <c r="BO107">
        <f t="shared" si="154"/>
        <v>0</v>
      </c>
      <c r="BP107">
        <f t="shared" si="155"/>
        <v>0</v>
      </c>
    </row>
    <row r="108" spans="14:68">
      <c r="N108" s="7">
        <v>90</v>
      </c>
      <c r="O108" s="18">
        <f t="shared" si="117"/>
        <v>79.4328234724282</v>
      </c>
      <c r="P108" s="86" t="str">
        <f t="shared" si="105"/>
        <v>15</v>
      </c>
      <c r="Q108" s="4" t="str">
        <f t="shared" si="106"/>
        <v>1+0,145568251893677i</v>
      </c>
      <c r="R108" s="4">
        <f t="shared" si="118"/>
        <v>1.01053951726757</v>
      </c>
      <c r="S108" s="4">
        <f t="shared" si="119"/>
        <v>0.144552927162627</v>
      </c>
      <c r="T108" s="4" t="str">
        <f t="shared" si="107"/>
        <v>1+0,0000998182298699502i</v>
      </c>
      <c r="U108" s="4">
        <f t="shared" si="120"/>
        <v>1.00000000498184</v>
      </c>
      <c r="V108" s="4">
        <f t="shared" si="121"/>
        <v>9.98182295384313e-5</v>
      </c>
      <c r="W108" t="str">
        <f t="shared" si="108"/>
        <v>1-0,00873409511362065i</v>
      </c>
      <c r="X108" s="4">
        <f t="shared" si="122"/>
        <v>1.00003814148134</v>
      </c>
      <c r="Y108" s="4">
        <f t="shared" si="123"/>
        <v>-0.00873387303199947</v>
      </c>
      <c r="Z108" t="str">
        <f t="shared" si="109"/>
        <v>0,999999955131922+0,000463441781539053i</v>
      </c>
      <c r="AA108" s="4">
        <f t="shared" si="124"/>
        <v>1.00000006252106</v>
      </c>
      <c r="AB108" s="4">
        <f t="shared" si="125"/>
        <v>0.000463441769153719</v>
      </c>
      <c r="AC108" s="67" t="str">
        <f t="shared" si="126"/>
        <v>14,6692424747478-2,27184174681842i</v>
      </c>
      <c r="AD108" s="68">
        <f t="shared" si="127"/>
        <v>23.4310899413025</v>
      </c>
      <c r="AE108" s="31">
        <f t="shared" si="128"/>
        <v>-8.80352080036878</v>
      </c>
      <c r="AF108" s="32" t="str">
        <f t="shared" si="129"/>
        <v>75,4669735059805</v>
      </c>
      <c r="AG108" s="32" t="str">
        <f t="shared" si="110"/>
        <v>1+0,0935795905030784i</v>
      </c>
      <c r="AH108" s="32">
        <f t="shared" si="130"/>
        <v>1.00436902568664</v>
      </c>
      <c r="AI108" s="32">
        <f t="shared" si="131"/>
        <v>0.0933078536787006</v>
      </c>
      <c r="AJ108" s="32" t="str">
        <f t="shared" si="111"/>
        <v>1+0,0000998182298699502i</v>
      </c>
      <c r="AK108" s="32">
        <f t="shared" si="132"/>
        <v>1.00000000498184</v>
      </c>
      <c r="AL108" s="32">
        <f t="shared" si="133"/>
        <v>9.98182295384313e-5</v>
      </c>
      <c r="AM108" s="32" t="str">
        <f t="shared" si="112"/>
        <v>1-0,00111600173691454i</v>
      </c>
      <c r="AN108" s="32">
        <f t="shared" si="134"/>
        <v>1.00000062272974</v>
      </c>
      <c r="AO108" s="32">
        <f t="shared" si="135"/>
        <v>-0.00111600127360309</v>
      </c>
      <c r="AP108" s="30" t="str">
        <f t="shared" si="136"/>
        <v>74,8047299786319-7,07688429289708i</v>
      </c>
      <c r="AQ108" s="32">
        <f t="shared" si="137"/>
        <v>37.5172779081726</v>
      </c>
      <c r="AR108" s="31">
        <f t="shared" si="138"/>
        <v>-5.40436921085144</v>
      </c>
      <c r="AS108" t="str">
        <f t="shared" si="113"/>
        <v>-0,000338461538461538</v>
      </c>
      <c r="AT108" t="str">
        <f t="shared" si="114"/>
        <v>0,0000873679020582712i</v>
      </c>
      <c r="AU108">
        <f t="shared" si="139"/>
        <v>8.73679020582712e-5</v>
      </c>
      <c r="AV108">
        <f t="shared" si="140"/>
        <v>1.5707963267949</v>
      </c>
      <c r="AW108" t="str">
        <f t="shared" si="115"/>
        <v>1+0,0141794870694006i</v>
      </c>
      <c r="AX108">
        <f t="shared" si="141"/>
        <v>1.00010052387425</v>
      </c>
      <c r="AY108">
        <f t="shared" si="142"/>
        <v>0.014178536884945</v>
      </c>
      <c r="AZ108" t="str">
        <f t="shared" si="116"/>
        <v>1+0,123774605038738i</v>
      </c>
      <c r="BA108">
        <f t="shared" si="143"/>
        <v>1.00763096064606</v>
      </c>
      <c r="BB108">
        <f t="shared" si="144"/>
        <v>0.123148270405792</v>
      </c>
      <c r="BC108" s="30" t="str">
        <f t="shared" si="145"/>
        <v>-0,424483990974651+3,87999934578807i</v>
      </c>
      <c r="BD108" s="32">
        <f t="shared" si="146"/>
        <v>11.8283053081579</v>
      </c>
      <c r="BE108" s="31">
        <f t="shared" si="147"/>
        <v>96.2435058254098</v>
      </c>
      <c r="BF108" s="30" t="str">
        <f t="shared" si="148"/>
        <v>2,58788590113368+57,8810116567803i</v>
      </c>
      <c r="BG108" s="68">
        <f t="shared" si="149"/>
        <v>35.2593952494604</v>
      </c>
      <c r="BH108" s="31">
        <f t="shared" si="150"/>
        <v>87.439985025041</v>
      </c>
      <c r="BI108" s="30" t="str">
        <f t="shared" si="103"/>
        <v>-4,29510389845225+293,24632746726i</v>
      </c>
      <c r="BJ108" s="68">
        <f t="shared" si="151"/>
        <v>49.3455832163305</v>
      </c>
      <c r="BK108" s="31">
        <f t="shared" si="104"/>
        <v>90.8391366145583</v>
      </c>
      <c r="BL108" s="32">
        <f t="shared" si="152"/>
        <v>35.2593952494604</v>
      </c>
      <c r="BM108" s="31">
        <f t="shared" si="153"/>
        <v>87.439985025041</v>
      </c>
      <c r="BO108">
        <f t="shared" si="154"/>
        <v>0</v>
      </c>
      <c r="BP108">
        <f t="shared" si="155"/>
        <v>0</v>
      </c>
    </row>
    <row r="109" spans="14:68">
      <c r="N109" s="7">
        <v>91</v>
      </c>
      <c r="O109" s="18">
        <f t="shared" si="117"/>
        <v>81.28305161641</v>
      </c>
      <c r="P109" s="86" t="str">
        <f t="shared" si="105"/>
        <v>15</v>
      </c>
      <c r="Q109" s="4" t="str">
        <f t="shared" si="106"/>
        <v>1+0,148958972061359i</v>
      </c>
      <c r="R109" s="4">
        <f t="shared" si="118"/>
        <v>1.01103351841449</v>
      </c>
      <c r="S109" s="4">
        <f t="shared" si="119"/>
        <v>0.147871672218982</v>
      </c>
      <c r="T109" s="4" t="str">
        <f t="shared" si="107"/>
        <v>1+0,000102143295127789i</v>
      </c>
      <c r="U109" s="4">
        <f t="shared" si="120"/>
        <v>1.00000000521663</v>
      </c>
      <c r="V109" s="4">
        <f t="shared" si="121"/>
        <v>0.00010214329477256</v>
      </c>
      <c r="W109" t="str">
        <f t="shared" si="108"/>
        <v>1-0,00893753832368158i</v>
      </c>
      <c r="X109" s="4">
        <f t="shared" si="122"/>
        <v>1.00003993899808</v>
      </c>
      <c r="Y109" s="4">
        <f t="shared" si="123"/>
        <v>-0.00893730035945043</v>
      </c>
      <c r="Z109" t="str">
        <f t="shared" si="109"/>
        <v>0,999999953017355+0,000474236727379021i</v>
      </c>
      <c r="AA109" s="4">
        <f t="shared" si="124"/>
        <v>1.00000006546759</v>
      </c>
      <c r="AB109" s="4">
        <f t="shared" si="125"/>
        <v>0.000474236714107896</v>
      </c>
      <c r="AC109" s="67" t="str">
        <f t="shared" si="126"/>
        <v>14,6539927261918-2,32248815141015i</v>
      </c>
      <c r="AD109" s="68">
        <f t="shared" si="127"/>
        <v>23.4268604799525</v>
      </c>
      <c r="AE109" s="31">
        <f t="shared" si="128"/>
        <v>-9.00581170103931</v>
      </c>
      <c r="AF109" s="32" t="str">
        <f t="shared" si="129"/>
        <v>75,4669735059805</v>
      </c>
      <c r="AG109" s="32" t="str">
        <f t="shared" si="110"/>
        <v>1+0,0957593391823026i</v>
      </c>
      <c r="AH109" s="32">
        <f t="shared" si="130"/>
        <v>1.00457446266597</v>
      </c>
      <c r="AI109" s="32">
        <f t="shared" si="131"/>
        <v>0.0954682394908044</v>
      </c>
      <c r="AJ109" s="32" t="str">
        <f t="shared" si="111"/>
        <v>1+0,000102143295127789i</v>
      </c>
      <c r="AK109" s="32">
        <f t="shared" si="132"/>
        <v>1.00000000521663</v>
      </c>
      <c r="AL109" s="32">
        <f t="shared" si="133"/>
        <v>0.00010214329477256</v>
      </c>
      <c r="AM109" s="32" t="str">
        <f t="shared" si="112"/>
        <v>1-0,0011419967567578i</v>
      </c>
      <c r="AN109" s="32">
        <f t="shared" si="134"/>
        <v>1.00000065207808</v>
      </c>
      <c r="AO109" s="32">
        <f t="shared" si="135"/>
        <v>-0.00114199626031066</v>
      </c>
      <c r="AP109" s="30" t="str">
        <f t="shared" si="136"/>
        <v>74,7738029985326-7,23876455692609i</v>
      </c>
      <c r="AQ109" s="32">
        <f t="shared" si="137"/>
        <v>37.5155017060624</v>
      </c>
      <c r="AR109" s="31">
        <f t="shared" si="138"/>
        <v>-5.52950638660676</v>
      </c>
      <c r="AS109" t="str">
        <f t="shared" si="113"/>
        <v>-0,000338461538461538</v>
      </c>
      <c r="AT109" t="str">
        <f t="shared" si="114"/>
        <v>0,0000894029619265002i</v>
      </c>
      <c r="AU109">
        <f t="shared" si="139"/>
        <v>8.94029619265002e-5</v>
      </c>
      <c r="AV109">
        <f t="shared" si="140"/>
        <v>1.5707963267949</v>
      </c>
      <c r="AW109" t="str">
        <f t="shared" si="115"/>
        <v>1+0,0145097697522532i</v>
      </c>
      <c r="AX109">
        <f t="shared" si="141"/>
        <v>1.00010526116917</v>
      </c>
      <c r="AY109">
        <f t="shared" si="142"/>
        <v>0.0145087516170529</v>
      </c>
      <c r="AZ109" t="str">
        <f t="shared" si="116"/>
        <v>1+0,126657685958459i</v>
      </c>
      <c r="BA109">
        <f t="shared" si="143"/>
        <v>1.00798917127733</v>
      </c>
      <c r="BB109">
        <f t="shared" si="144"/>
        <v>0.125986843261038</v>
      </c>
      <c r="BC109" s="30" t="str">
        <f t="shared" si="145"/>
        <v>-0,424479969595761+3,79195692772671i</v>
      </c>
      <c r="BD109" s="32">
        <f t="shared" si="146"/>
        <v>11.6313514310601</v>
      </c>
      <c r="BE109" s="31">
        <f t="shared" si="147"/>
        <v>96.387224159373</v>
      </c>
      <c r="BF109" s="30" t="str">
        <f t="shared" si="148"/>
        <v>2,58644864843252+56,5531589368369i</v>
      </c>
      <c r="BG109" s="68">
        <f t="shared" si="149"/>
        <v>35.0582119110126</v>
      </c>
      <c r="BH109" s="31">
        <f t="shared" si="150"/>
        <v>87.3814124583337</v>
      </c>
      <c r="BI109" s="30" t="str">
        <f t="shared" si="103"/>
        <v>-4,29089821355809+286,611750851793i</v>
      </c>
      <c r="BJ109" s="68">
        <f t="shared" si="151"/>
        <v>49.1468531371225</v>
      </c>
      <c r="BK109" s="31">
        <f t="shared" si="104"/>
        <v>90.8577177727662</v>
      </c>
      <c r="BL109" s="32">
        <f t="shared" si="152"/>
        <v>35.0582119110126</v>
      </c>
      <c r="BM109" s="31">
        <f t="shared" si="153"/>
        <v>87.3814124583337</v>
      </c>
      <c r="BO109">
        <f t="shared" si="154"/>
        <v>0</v>
      </c>
      <c r="BP109">
        <f t="shared" si="155"/>
        <v>0</v>
      </c>
    </row>
    <row r="110" spans="14:68">
      <c r="N110" s="7">
        <v>92</v>
      </c>
      <c r="O110" s="18">
        <f t="shared" si="117"/>
        <v>83.1763771102671</v>
      </c>
      <c r="P110" s="86" t="str">
        <f t="shared" si="105"/>
        <v>15</v>
      </c>
      <c r="Q110" s="4" t="str">
        <f t="shared" si="106"/>
        <v>1+0,152428672247734i</v>
      </c>
      <c r="R110" s="4">
        <f t="shared" si="118"/>
        <v>1.01155054254506</v>
      </c>
      <c r="S110" s="4">
        <f t="shared" si="119"/>
        <v>0.151264326773695</v>
      </c>
      <c r="T110" s="4" t="str">
        <f t="shared" si="107"/>
        <v>1+0,000104522518112732i</v>
      </c>
      <c r="U110" s="4">
        <f t="shared" si="120"/>
        <v>1.00000000546248</v>
      </c>
      <c r="V110" s="4">
        <f t="shared" si="121"/>
        <v>0.000104522517732097</v>
      </c>
      <c r="W110" t="str">
        <f t="shared" si="108"/>
        <v>1-0,00914572033486404i</v>
      </c>
      <c r="X110" s="4">
        <f t="shared" si="122"/>
        <v>1.00004182122571</v>
      </c>
      <c r="Y110" s="4">
        <f t="shared" si="123"/>
        <v>-0.00914546535217232</v>
      </c>
      <c r="Z110" t="str">
        <f t="shared" si="109"/>
        <v>0,999999950803131+0,00048528311980911i</v>
      </c>
      <c r="AA110" s="4">
        <f t="shared" si="124"/>
        <v>1.00000006855298</v>
      </c>
      <c r="AB110" s="4">
        <f t="shared" si="125"/>
        <v>0.000485283105588844</v>
      </c>
      <c r="AC110" s="67" t="str">
        <f t="shared" si="126"/>
        <v>14,6380561834981-2,3741566630812i</v>
      </c>
      <c r="AD110" s="68">
        <f t="shared" si="127"/>
        <v>23.4224361329916</v>
      </c>
      <c r="AE110" s="31">
        <f t="shared" si="128"/>
        <v>-9.2126200560722</v>
      </c>
      <c r="AF110" s="32" t="str">
        <f t="shared" si="129"/>
        <v>75,4669735059805</v>
      </c>
      <c r="AG110" s="32" t="str">
        <f t="shared" si="110"/>
        <v>1+0,0979898607306861i</v>
      </c>
      <c r="AH110" s="32">
        <f t="shared" si="130"/>
        <v>1.00478953657272</v>
      </c>
      <c r="AI110" s="32">
        <f t="shared" si="131"/>
        <v>0.0976780220370774</v>
      </c>
      <c r="AJ110" s="32" t="str">
        <f t="shared" si="111"/>
        <v>1+0,000104522518112732i</v>
      </c>
      <c r="AK110" s="32">
        <f t="shared" si="132"/>
        <v>1.00000000546248</v>
      </c>
      <c r="AL110" s="32">
        <f t="shared" si="133"/>
        <v>0.000104522517732097</v>
      </c>
      <c r="AM110" s="32" t="str">
        <f t="shared" si="112"/>
        <v>1-0,00116859727839761i</v>
      </c>
      <c r="AN110" s="32">
        <f t="shared" si="134"/>
        <v>1.00000068280957</v>
      </c>
      <c r="AO110" s="32">
        <f t="shared" si="135"/>
        <v>-0.00116859674644493</v>
      </c>
      <c r="AP110" s="30" t="str">
        <f t="shared" si="136"/>
        <v>74,7414455753565-7,40420634448214i</v>
      </c>
      <c r="AQ110" s="32">
        <f t="shared" si="137"/>
        <v>37.5136425726246</v>
      </c>
      <c r="AR110" s="31">
        <f t="shared" si="138"/>
        <v>-5.65750537630427</v>
      </c>
      <c r="AS110" t="str">
        <f t="shared" si="113"/>
        <v>-0,000338461538461538</v>
      </c>
      <c r="AT110" t="str">
        <f t="shared" si="114"/>
        <v>0,0000914854244285307i</v>
      </c>
      <c r="AU110">
        <f t="shared" si="139"/>
        <v>9.14854244285307e-5</v>
      </c>
      <c r="AV110">
        <f t="shared" si="140"/>
        <v>1.5707963267949</v>
      </c>
      <c r="AW110" t="str">
        <f t="shared" si="115"/>
        <v>1+0,0148477457070879i</v>
      </c>
      <c r="AX110">
        <f t="shared" si="141"/>
        <v>1.00011022170188</v>
      </c>
      <c r="AY110">
        <f t="shared" si="142"/>
        <v>0.014846654762059</v>
      </c>
      <c r="AZ110" t="str">
        <f t="shared" si="116"/>
        <v>1+0,129607922459787i</v>
      </c>
      <c r="BA110">
        <f t="shared" si="143"/>
        <v>1.00836412746802</v>
      </c>
      <c r="BB110">
        <f t="shared" si="144"/>
        <v>0.128889423190763</v>
      </c>
      <c r="BC110" s="30" t="str">
        <f t="shared" si="145"/>
        <v>-0,424475758776783+3,70592504992082i</v>
      </c>
      <c r="BD110" s="32">
        <f t="shared" si="146"/>
        <v>11.4345387632273</v>
      </c>
      <c r="BE110" s="31">
        <f t="shared" si="147"/>
        <v>96.5341693149525</v>
      </c>
      <c r="BF110" s="30" t="str">
        <f t="shared" si="148"/>
        <v>2,58494664464151+55,2553110435903i</v>
      </c>
      <c r="BG110" s="68">
        <f t="shared" si="149"/>
        <v>34.8569748962189</v>
      </c>
      <c r="BH110" s="31">
        <f t="shared" si="150"/>
        <v>87.3215492588803</v>
      </c>
      <c r="BI110" s="30" t="str">
        <f t="shared" si="103"/>
        <v>-4,28649805587405+280,129101531221i</v>
      </c>
      <c r="BJ110" s="68">
        <f t="shared" si="151"/>
        <v>48.9481813358519</v>
      </c>
      <c r="BK110" s="31">
        <f t="shared" si="104"/>
        <v>90.8766639386482</v>
      </c>
      <c r="BL110" s="32">
        <f t="shared" si="152"/>
        <v>34.8569748962189</v>
      </c>
      <c r="BM110" s="31">
        <f t="shared" si="153"/>
        <v>87.3215492588803</v>
      </c>
      <c r="BO110">
        <f t="shared" si="154"/>
        <v>0</v>
      </c>
      <c r="BP110">
        <f t="shared" si="155"/>
        <v>0</v>
      </c>
    </row>
    <row r="111" spans="14:68">
      <c r="N111" s="7">
        <v>93</v>
      </c>
      <c r="O111" s="18">
        <f t="shared" si="117"/>
        <v>85.1138038202377</v>
      </c>
      <c r="P111" s="86" t="str">
        <f t="shared" si="105"/>
        <v>15</v>
      </c>
      <c r="Q111" s="4" t="str">
        <f t="shared" si="106"/>
        <v>1+0,155979192133766i</v>
      </c>
      <c r="R111" s="4">
        <f t="shared" si="118"/>
        <v>1.01209165018723</v>
      </c>
      <c r="S111" s="4">
        <f t="shared" si="119"/>
        <v>0.154732377097158</v>
      </c>
      <c r="T111" s="4" t="str">
        <f t="shared" si="107"/>
        <v>1+0,000106957160320297i</v>
      </c>
      <c r="U111" s="4">
        <f t="shared" si="120"/>
        <v>1.00000000571992</v>
      </c>
      <c r="V111" s="4">
        <f t="shared" si="121"/>
        <v>0.00010695715991244</v>
      </c>
      <c r="W111" t="str">
        <f t="shared" si="108"/>
        <v>1-0,00935875152802598i</v>
      </c>
      <c r="X111" s="4">
        <f t="shared" si="122"/>
        <v>1.00004379215621</v>
      </c>
      <c r="Y111" s="4">
        <f t="shared" si="123"/>
        <v>-0.00935847830979547</v>
      </c>
      <c r="Z111" t="str">
        <f t="shared" si="109"/>
        <v>0,999999948484554+0,000496586815772805i</v>
      </c>
      <c r="AA111" s="4">
        <f t="shared" si="124"/>
        <v>1.00000007178379</v>
      </c>
      <c r="AB111" s="4">
        <f t="shared" si="125"/>
        <v>0.000496586800535515</v>
      </c>
      <c r="AC111" s="67" t="str">
        <f t="shared" si="126"/>
        <v>14,6214034499171-2,42686039504582i</v>
      </c>
      <c r="AD111" s="68">
        <f t="shared" si="127"/>
        <v>23.417808134415</v>
      </c>
      <c r="AE111" s="31">
        <f t="shared" si="128"/>
        <v>-9.42403760549076</v>
      </c>
      <c r="AF111" s="32" t="str">
        <f t="shared" si="129"/>
        <v>75,4669735059805</v>
      </c>
      <c r="AG111" s="32" t="str">
        <f t="shared" si="110"/>
        <v>1+0,100272337800278i</v>
      </c>
      <c r="AH111" s="32">
        <f t="shared" si="130"/>
        <v>1.00501469726961</v>
      </c>
      <c r="AI111" s="32">
        <f t="shared" si="131"/>
        <v>0.0999382866005898</v>
      </c>
      <c r="AJ111" s="32" t="str">
        <f t="shared" si="111"/>
        <v>1+0,000106957160320297i</v>
      </c>
      <c r="AK111" s="32">
        <f t="shared" si="132"/>
        <v>1.00000000571992</v>
      </c>
      <c r="AL111" s="32">
        <f t="shared" si="133"/>
        <v>0.00010695715991244</v>
      </c>
      <c r="AM111" s="32" t="str">
        <f t="shared" si="112"/>
        <v>1-0,00119581740578263i</v>
      </c>
      <c r="AN111" s="32">
        <f t="shared" si="134"/>
        <v>1.00000071498938</v>
      </c>
      <c r="AO111" s="32">
        <f t="shared" si="135"/>
        <v>-0.00119581683578509</v>
      </c>
      <c r="AP111" s="30" t="str">
        <f t="shared" si="136"/>
        <v>74,7075928708459-7,57327797588713i</v>
      </c>
      <c r="AQ111" s="32">
        <f t="shared" si="137"/>
        <v>37.5116966738032</v>
      </c>
      <c r="AR111" s="31">
        <f t="shared" si="138"/>
        <v>-5.78842909789212</v>
      </c>
      <c r="AS111" t="str">
        <f t="shared" si="113"/>
        <v>-0,000338461538461538</v>
      </c>
      <c r="AT111" t="str">
        <f t="shared" si="114"/>
        <v>0,0000936163937135461i</v>
      </c>
      <c r="AU111">
        <f t="shared" si="139"/>
        <v>9.36163937135461e-5</v>
      </c>
      <c r="AV111">
        <f t="shared" si="140"/>
        <v>1.5707963267949</v>
      </c>
      <c r="AW111" t="str">
        <f t="shared" si="115"/>
        <v>1+0,0151935941332298i</v>
      </c>
      <c r="AX111">
        <f t="shared" si="141"/>
        <v>1.00011541599092</v>
      </c>
      <c r="AY111">
        <f t="shared" si="142"/>
        <v>0.0151924251718562</v>
      </c>
      <c r="AZ111" t="str">
        <f t="shared" si="116"/>
        <v>1+0,132626878797168i</v>
      </c>
      <c r="BA111">
        <f t="shared" si="143"/>
        <v>1.00875660542049</v>
      </c>
      <c r="BB111">
        <f t="shared" si="144"/>
        <v>0.131857353443927</v>
      </c>
      <c r="BC111" s="30" t="str">
        <f t="shared" si="145"/>
        <v>-0,424471349597564+3,62185809673684i</v>
      </c>
      <c r="BD111" s="32">
        <f t="shared" si="146"/>
        <v>11.2378737367489</v>
      </c>
      <c r="BE111" s="31">
        <f t="shared" si="147"/>
        <v>96.6844080071862</v>
      </c>
      <c r="BF111" s="30" t="str">
        <f t="shared" si="148"/>
        <v>2,58337711604988+53,9867811779082i</v>
      </c>
      <c r="BG111" s="68">
        <f t="shared" si="149"/>
        <v>34.6556818711639</v>
      </c>
      <c r="BH111" s="31">
        <f t="shared" si="150"/>
        <v>87.2603704016954</v>
      </c>
      <c r="BI111" s="30" t="str">
        <f t="shared" si="103"/>
        <v>-4,28189461526772+273,794939650295i</v>
      </c>
      <c r="BJ111" s="68">
        <f t="shared" si="151"/>
        <v>48.7495704105521</v>
      </c>
      <c r="BK111" s="31">
        <f t="shared" si="104"/>
        <v>90.8959789092941</v>
      </c>
      <c r="BL111" s="32">
        <f t="shared" si="152"/>
        <v>34.6556818711639</v>
      </c>
      <c r="BM111" s="31">
        <f t="shared" si="153"/>
        <v>87.2603704016954</v>
      </c>
      <c r="BO111">
        <f t="shared" si="154"/>
        <v>0</v>
      </c>
      <c r="BP111">
        <f t="shared" si="155"/>
        <v>0</v>
      </c>
    </row>
    <row r="112" spans="14:68">
      <c r="N112" s="7">
        <v>94</v>
      </c>
      <c r="O112" s="18">
        <f t="shared" si="117"/>
        <v>87.0963589956081</v>
      </c>
      <c r="P112" s="86" t="str">
        <f t="shared" si="105"/>
        <v>15</v>
      </c>
      <c r="Q112" s="4" t="str">
        <f t="shared" si="106"/>
        <v>1+0,159612414252096i</v>
      </c>
      <c r="R112" s="4">
        <f t="shared" si="118"/>
        <v>1.01265794954831</v>
      </c>
      <c r="S112" s="4">
        <f t="shared" si="119"/>
        <v>0.158277328131656</v>
      </c>
      <c r="T112" s="4" t="str">
        <f t="shared" si="107"/>
        <v>1+0,000109448512630009i</v>
      </c>
      <c r="U112" s="4">
        <f t="shared" si="120"/>
        <v>1.00000000598949</v>
      </c>
      <c r="V112" s="4">
        <f t="shared" si="121"/>
        <v>0.000109448512192982</v>
      </c>
      <c r="W112" t="str">
        <f t="shared" si="108"/>
        <v>1-0,00957674485512576i</v>
      </c>
      <c r="X112" s="4">
        <f t="shared" si="122"/>
        <v>1.00004585596963</v>
      </c>
      <c r="Y112" s="4">
        <f t="shared" si="123"/>
        <v>-0.00957645209724224</v>
      </c>
      <c r="Z112" t="str">
        <f t="shared" si="109"/>
        <v>0,999999946056706+0,000508153808639324i</v>
      </c>
      <c r="AA112" s="4">
        <f t="shared" si="124"/>
        <v>1.00000007516685</v>
      </c>
      <c r="AB112" s="4">
        <f t="shared" si="125"/>
        <v>0.000508153792312274</v>
      </c>
      <c r="AC112" s="67" t="str">
        <f t="shared" si="126"/>
        <v>14,6040040145266-2,48061206860717i</v>
      </c>
      <c r="AD112" s="68">
        <f t="shared" si="127"/>
        <v>23.4129673440418</v>
      </c>
      <c r="AE112" s="31">
        <f t="shared" si="128"/>
        <v>-9.64015731225274</v>
      </c>
      <c r="AF112" s="32" t="str">
        <f t="shared" si="129"/>
        <v>75,4669735059805</v>
      </c>
      <c r="AG112" s="32" t="str">
        <f t="shared" si="110"/>
        <v>1+0,102607980590633i</v>
      </c>
      <c r="AH112" s="32">
        <f t="shared" si="130"/>
        <v>1.00525041540946</v>
      </c>
      <c r="AI112" s="32">
        <f t="shared" si="131"/>
        <v>0.10225013917498</v>
      </c>
      <c r="AJ112" s="32" t="str">
        <f t="shared" si="111"/>
        <v>1+0,000109448512630009i</v>
      </c>
      <c r="AK112" s="32">
        <f t="shared" si="132"/>
        <v>1.00000000598949</v>
      </c>
      <c r="AL112" s="32">
        <f t="shared" si="133"/>
        <v>0.000109448512192982</v>
      </c>
      <c r="AM112" s="32" t="str">
        <f t="shared" si="112"/>
        <v>1-0,00122367157138472i</v>
      </c>
      <c r="AN112" s="32">
        <f t="shared" si="134"/>
        <v>1.00000074868578</v>
      </c>
      <c r="AO112" s="32">
        <f t="shared" si="135"/>
        <v>-0.00122367096062137</v>
      </c>
      <c r="AP112" s="30" t="str">
        <f t="shared" si="136"/>
        <v>74,6721772340029-7,74604835434167i</v>
      </c>
      <c r="AQ112" s="32">
        <f t="shared" si="137"/>
        <v>37.5096600019174</v>
      </c>
      <c r="AR112" s="31">
        <f t="shared" si="138"/>
        <v>-5.92234167308529</v>
      </c>
      <c r="AS112" t="str">
        <f t="shared" si="113"/>
        <v>-0,000338461538461538</v>
      </c>
      <c r="AT112" t="str">
        <f t="shared" si="114"/>
        <v>0,0000957969996496677i</v>
      </c>
      <c r="AU112">
        <f t="shared" si="139"/>
        <v>9.57969996496677e-5</v>
      </c>
      <c r="AV112">
        <f t="shared" si="140"/>
        <v>1.5707963267949</v>
      </c>
      <c r="AW112" t="str">
        <f t="shared" si="115"/>
        <v>1+0,015547498404092i</v>
      </c>
      <c r="AX112">
        <f t="shared" si="141"/>
        <v>1.00012085505034</v>
      </c>
      <c r="AY112">
        <f t="shared" si="142"/>
        <v>0.0155462458475878</v>
      </c>
      <c r="AZ112" t="str">
        <f t="shared" si="116"/>
        <v>1+0,135716155661211i</v>
      </c>
      <c r="BA112">
        <f t="shared" si="143"/>
        <v>1.00916741668935</v>
      </c>
      <c r="BB112">
        <f t="shared" si="144"/>
        <v>0.134891998398779</v>
      </c>
      <c r="BC112" s="30" t="str">
        <f t="shared" si="145"/>
        <v>-0,424466732718305+3,53971149434218i</v>
      </c>
      <c r="BD112" s="32">
        <f t="shared" si="146"/>
        <v>11.0413630659027</v>
      </c>
      <c r="BE112" s="31">
        <f t="shared" si="147"/>
        <v>96.8380079239959</v>
      </c>
      <c r="BF112" s="30" t="str">
        <f t="shared" si="148"/>
        <v>2,58173718360162+52,7468981735424i</v>
      </c>
      <c r="BG112" s="68">
        <f t="shared" si="149"/>
        <v>34.4543304099445</v>
      </c>
      <c r="BH112" s="31">
        <f t="shared" si="150"/>
        <v>87.1978506117432</v>
      </c>
      <c r="BI112" s="30" t="str">
        <f t="shared" si="103"/>
        <v>-4,27707869988587+267,605903899202i</v>
      </c>
      <c r="BJ112" s="68">
        <f t="shared" si="151"/>
        <v>48.5510230678201</v>
      </c>
      <c r="BK112" s="31">
        <f t="shared" si="104"/>
        <v>90.9156662509106</v>
      </c>
      <c r="BL112" s="32">
        <f t="shared" si="152"/>
        <v>34.4543304099445</v>
      </c>
      <c r="BM112" s="31">
        <f t="shared" si="153"/>
        <v>87.1978506117432</v>
      </c>
      <c r="BO112">
        <f t="shared" si="154"/>
        <v>0</v>
      </c>
      <c r="BP112">
        <f t="shared" si="155"/>
        <v>0</v>
      </c>
    </row>
    <row r="113" spans="14:68">
      <c r="N113" s="7">
        <v>95</v>
      </c>
      <c r="O113" s="18">
        <f t="shared" si="117"/>
        <v>89.1250938133746</v>
      </c>
      <c r="P113" s="86" t="str">
        <f t="shared" si="105"/>
        <v>15</v>
      </c>
      <c r="Q113" s="4" t="str">
        <f t="shared" si="106"/>
        <v>1+0,163330264985182i</v>
      </c>
      <c r="R113" s="4">
        <f t="shared" si="118"/>
        <v>1.01325059854911</v>
      </c>
      <c r="S113" s="4">
        <f t="shared" si="119"/>
        <v>0.161900702888757</v>
      </c>
      <c r="T113" s="4" t="str">
        <f t="shared" si="107"/>
        <v>1+0,000111997895989839i</v>
      </c>
      <c r="U113" s="4">
        <f t="shared" si="120"/>
        <v>1.00000000627176</v>
      </c>
      <c r="V113" s="4">
        <f t="shared" si="121"/>
        <v>0.000111997895521556</v>
      </c>
      <c r="W113" t="str">
        <f t="shared" si="108"/>
        <v>1-0,00979981589911095i</v>
      </c>
      <c r="X113" s="4">
        <f t="shared" si="122"/>
        <v>1.00004801704301</v>
      </c>
      <c r="Y113" s="4">
        <f t="shared" si="123"/>
        <v>-0.00979950220420048</v>
      </c>
      <c r="Z113" t="str">
        <f t="shared" si="109"/>
        <v>0,999999943514437+0,000519990231381396i</v>
      </c>
      <c r="AA113" s="4">
        <f t="shared" si="124"/>
        <v>1.00000007870936</v>
      </c>
      <c r="AB113" s="4">
        <f t="shared" si="125"/>
        <v>0.000519990213886646</v>
      </c>
      <c r="AC113" s="67" t="str">
        <f t="shared" si="126"/>
        <v>14,585826223716-2,53542396191386i</v>
      </c>
      <c r="AD113" s="68">
        <f t="shared" si="127"/>
        <v>23.4079042334325</v>
      </c>
      <c r="AE113" s="31">
        <f t="shared" si="128"/>
        <v>-9.86107333127316</v>
      </c>
      <c r="AF113" s="32" t="str">
        <f t="shared" si="129"/>
        <v>75,4669735059805</v>
      </c>
      <c r="AG113" s="32" t="str">
        <f t="shared" si="110"/>
        <v>1+0,104998027490474i</v>
      </c>
      <c r="AH113" s="32">
        <f t="shared" si="130"/>
        <v>1.00549718337591</v>
      </c>
      <c r="AI113" s="32">
        <f t="shared" si="131"/>
        <v>0.104614706632366</v>
      </c>
      <c r="AJ113" s="32" t="str">
        <f t="shared" si="111"/>
        <v>1+0,000111997895989839i</v>
      </c>
      <c r="AK113" s="32">
        <f t="shared" si="132"/>
        <v>1.00000000627176</v>
      </c>
      <c r="AL113" s="32">
        <f t="shared" si="133"/>
        <v>0.000111997895521556</v>
      </c>
      <c r="AM113" s="32" t="str">
        <f t="shared" si="112"/>
        <v>1-0,00125217454385116i</v>
      </c>
      <c r="AN113" s="32">
        <f t="shared" si="134"/>
        <v>1.00000078397024</v>
      </c>
      <c r="AO113" s="32">
        <f t="shared" si="135"/>
        <v>-0.00125217388940647</v>
      </c>
      <c r="AP113" s="30" t="str">
        <f t="shared" si="136"/>
        <v>74,6351280911616-7,92258691194712i</v>
      </c>
      <c r="AQ113" s="32">
        <f t="shared" si="137"/>
        <v>37.5075283681447</v>
      </c>
      <c r="AR113" s="31">
        <f t="shared" si="138"/>
        <v>-6.05930843738559</v>
      </c>
      <c r="AS113" t="str">
        <f t="shared" si="113"/>
        <v>-0,000338461538461538</v>
      </c>
      <c r="AT113" t="str">
        <f t="shared" si="114"/>
        <v>0,0000980283984230268i</v>
      </c>
      <c r="AU113">
        <f t="shared" si="139"/>
        <v>9.80283984230268e-5</v>
      </c>
      <c r="AV113">
        <f t="shared" si="140"/>
        <v>1.5707963267949</v>
      </c>
      <c r="AW113" t="str">
        <f t="shared" si="115"/>
        <v>1+0,0159096461644035i</v>
      </c>
      <c r="AX113">
        <f t="shared" si="141"/>
        <v>1.00012655041303</v>
      </c>
      <c r="AY113">
        <f t="shared" si="142"/>
        <v>0.0159083040351003</v>
      </c>
      <c r="AZ113" t="str">
        <f t="shared" si="116"/>
        <v>1+0,138877391027401i</v>
      </c>
      <c r="BA113">
        <f t="shared" si="143"/>
        <v>1.0095974097325</v>
      </c>
      <c r="BB113">
        <f t="shared" si="144"/>
        <v>0.137994743376041</v>
      </c>
      <c r="BC113" s="30" t="str">
        <f t="shared" si="145"/>
        <v>-0,424461898359873+3,45944168706951i</v>
      </c>
      <c r="BD113" s="32">
        <f t="shared" si="146"/>
        <v>10.8450137585136</v>
      </c>
      <c r="BE113" s="31">
        <f t="shared" si="147"/>
        <v>96.9950377100158</v>
      </c>
      <c r="BF113" s="30" t="str">
        <f t="shared" si="148"/>
        <v>2,58002386017403+51,5350061466958i</v>
      </c>
      <c r="BG113" s="68">
        <f t="shared" si="149"/>
        <v>34.2529179919462</v>
      </c>
      <c r="BH113" s="31">
        <f t="shared" si="150"/>
        <v>87.1339643787426</v>
      </c>
      <c r="BI113" s="30" t="str">
        <f t="shared" si="103"/>
        <v>-4,27204072128557+261,558709718903i</v>
      </c>
      <c r="BJ113" s="68">
        <f t="shared" si="151"/>
        <v>48.3525421266583</v>
      </c>
      <c r="BK113" s="31">
        <f t="shared" si="104"/>
        <v>90.9357292726302</v>
      </c>
      <c r="BL113" s="32">
        <f t="shared" si="152"/>
        <v>34.2529179919462</v>
      </c>
      <c r="BM113" s="31">
        <f t="shared" si="153"/>
        <v>87.1339643787426</v>
      </c>
      <c r="BO113">
        <f t="shared" si="154"/>
        <v>0</v>
      </c>
      <c r="BP113">
        <f t="shared" si="155"/>
        <v>0</v>
      </c>
    </row>
    <row r="114" spans="14:68">
      <c r="N114" s="7">
        <v>96</v>
      </c>
      <c r="O114" s="18">
        <f t="shared" si="117"/>
        <v>91.201083935591</v>
      </c>
      <c r="P114" s="86" t="str">
        <f t="shared" si="105"/>
        <v>15</v>
      </c>
      <c r="Q114" s="4" t="str">
        <f t="shared" si="106"/>
        <v>1+0,167134715586696i</v>
      </c>
      <c r="R114" s="4">
        <f t="shared" si="118"/>
        <v>1.01387080693461</v>
      </c>
      <c r="S114" s="4">
        <f t="shared" si="119"/>
        <v>0.165604041770293</v>
      </c>
      <c r="T114" s="4" t="str">
        <f t="shared" si="107"/>
        <v>1+0,000114606662116591i</v>
      </c>
      <c r="U114" s="4">
        <f t="shared" si="120"/>
        <v>1.00000000656734</v>
      </c>
      <c r="V114" s="4">
        <f t="shared" si="121"/>
        <v>0.000114606661614817</v>
      </c>
      <c r="W114" t="str">
        <f t="shared" si="108"/>
        <v>1-0,0100280829352018i</v>
      </c>
      <c r="X114" s="4">
        <f t="shared" si="122"/>
        <v>1.00005027995964</v>
      </c>
      <c r="Y114" s="4">
        <f t="shared" si="123"/>
        <v>-0.010027746805962</v>
      </c>
      <c r="Z114" t="str">
        <f t="shared" si="109"/>
        <v>0,999999940852354+0,00053210235982703i</v>
      </c>
      <c r="AA114" s="4">
        <f t="shared" si="124"/>
        <v>1.00000008241881</v>
      </c>
      <c r="AB114" s="4">
        <f t="shared" si="125"/>
        <v>0.000532102341081068</v>
      </c>
      <c r="AC114" s="67" t="str">
        <f t="shared" si="126"/>
        <v>14,5668372533392-2,59130785537854i</v>
      </c>
      <c r="AD114" s="68">
        <f t="shared" si="127"/>
        <v>23.402608871457</v>
      </c>
      <c r="AE114" s="31">
        <f t="shared" si="128"/>
        <v>-10.0868809741518</v>
      </c>
      <c r="AF114" s="32" t="str">
        <f t="shared" si="129"/>
        <v>75,4669735059805</v>
      </c>
      <c r="AG114" s="32" t="str">
        <f t="shared" si="110"/>
        <v>1+0,107443745734305i</v>
      </c>
      <c r="AH114" s="32">
        <f t="shared" si="130"/>
        <v>1.00575551626497</v>
      </c>
      <c r="AI114" s="32">
        <f t="shared" si="131"/>
        <v>0.107033136874149</v>
      </c>
      <c r="AJ114" s="32" t="str">
        <f t="shared" si="111"/>
        <v>1+0,000114606662116591i</v>
      </c>
      <c r="AK114" s="32">
        <f t="shared" si="132"/>
        <v>1.00000000656734</v>
      </c>
      <c r="AL114" s="32">
        <f t="shared" si="133"/>
        <v>0.000114606661614817</v>
      </c>
      <c r="AM114" s="32" t="str">
        <f t="shared" si="112"/>
        <v>1-0,00128134143583524i</v>
      </c>
      <c r="AN114" s="32">
        <f t="shared" si="134"/>
        <v>1.0000008209176</v>
      </c>
      <c r="AO114" s="32">
        <f t="shared" si="135"/>
        <v>-0.00128134073458515</v>
      </c>
      <c r="AP114" s="30" t="str">
        <f t="shared" si="136"/>
        <v>74,596371832946-8,10296355017745i</v>
      </c>
      <c r="AQ114" s="32">
        <f t="shared" si="137"/>
        <v>37.5052973947129</v>
      </c>
      <c r="AR114" s="31">
        <f t="shared" si="138"/>
        <v>-6.19939594913011</v>
      </c>
      <c r="AS114" t="str">
        <f t="shared" si="113"/>
        <v>-0,000338461538461538</v>
      </c>
      <c r="AT114" t="str">
        <f t="shared" si="114"/>
        <v>0,000100311773150789i</v>
      </c>
      <c r="AU114">
        <f t="shared" si="139"/>
        <v>0.000100311773150789</v>
      </c>
      <c r="AV114">
        <f t="shared" si="140"/>
        <v>1.5707963267949</v>
      </c>
      <c r="AW114" t="str">
        <f t="shared" si="115"/>
        <v>1+0,0162802294297005i</v>
      </c>
      <c r="AX114">
        <f t="shared" si="141"/>
        <v>1.00013251415514</v>
      </c>
      <c r="AY114">
        <f t="shared" si="142"/>
        <v>0.016278791322533</v>
      </c>
      <c r="AZ114" t="str">
        <f t="shared" si="116"/>
        <v>1+0,142112261024573i</v>
      </c>
      <c r="BA114">
        <f t="shared" si="143"/>
        <v>1.01004747152474</v>
      </c>
      <c r="BB114">
        <f t="shared" si="144"/>
        <v>0.141166994404735</v>
      </c>
      <c r="BC114" s="30" t="str">
        <f t="shared" si="145"/>
        <v>-0,424456836283171+3,38100611432082i</v>
      </c>
      <c r="BD114" s="32">
        <f t="shared" si="146"/>
        <v>10.6488331276719</v>
      </c>
      <c r="BE114" s="31">
        <f t="shared" si="147"/>
        <v>97.1555669475829</v>
      </c>
      <c r="BF114" s="30" t="str">
        <f t="shared" si="148"/>
        <v>2,57823404791822+50,3504641539858i</v>
      </c>
      <c r="BG114" s="68">
        <f t="shared" si="149"/>
        <v>34.0514419991289</v>
      </c>
      <c r="BH114" s="31">
        <f t="shared" si="150"/>
        <v>87.0686859734311</v>
      </c>
      <c r="BI114" s="30" t="str">
        <f t="shared" ref="BI114:BI177" si="156">IMPRODUCT(AP114,BC114)</f>
        <v>-4,26677067914661+255,650147546366i</v>
      </c>
      <c r="BJ114" s="68">
        <f t="shared" si="151"/>
        <v>48.1541305223848</v>
      </c>
      <c r="BK114" s="31">
        <f t="shared" ref="BK114:BK177" si="157">(180/PI())*IMARGUMENT(BI114)</f>
        <v>90.9561709984528</v>
      </c>
      <c r="BL114" s="32">
        <f t="shared" si="152"/>
        <v>34.0514419991289</v>
      </c>
      <c r="BM114" s="31">
        <f t="shared" si="153"/>
        <v>87.0686859734311</v>
      </c>
      <c r="BO114">
        <f t="shared" si="154"/>
        <v>0</v>
      </c>
      <c r="BP114">
        <f t="shared" si="155"/>
        <v>0</v>
      </c>
    </row>
    <row r="115" spans="14:68">
      <c r="N115" s="7">
        <v>97</v>
      </c>
      <c r="O115" s="18">
        <f t="shared" si="117"/>
        <v>93.3254300796992</v>
      </c>
      <c r="P115" s="86" t="str">
        <f t="shared" si="105"/>
        <v>15</v>
      </c>
      <c r="Q115" s="4" t="str">
        <f t="shared" si="106"/>
        <v>1+0,171027783226703i</v>
      </c>
      <c r="R115" s="4">
        <f t="shared" si="118"/>
        <v>1.01451983846322</v>
      </c>
      <c r="S115" s="4">
        <f t="shared" si="119"/>
        <v>0.169388901807999</v>
      </c>
      <c r="T115" s="4" t="str">
        <f t="shared" si="107"/>
        <v>1+0,000117276194212596i</v>
      </c>
      <c r="U115" s="4">
        <f t="shared" si="120"/>
        <v>1.00000000687685</v>
      </c>
      <c r="V115" s="4">
        <f t="shared" si="121"/>
        <v>0.000117276193674935</v>
      </c>
      <c r="W115" t="str">
        <f t="shared" si="108"/>
        <v>1-0,0102616669936022i</v>
      </c>
      <c r="X115" s="4">
        <f t="shared" si="122"/>
        <v>1.00005264951876</v>
      </c>
      <c r="Y115" s="4">
        <f t="shared" si="123"/>
        <v>-0.0102613068256568</v>
      </c>
      <c r="Z115" t="str">
        <f t="shared" si="109"/>
        <v>0,999999938064811+0,000544496615987053i</v>
      </c>
      <c r="AA115" s="4">
        <f t="shared" si="124"/>
        <v>1.00000008630309</v>
      </c>
      <c r="AB115" s="4">
        <f t="shared" si="125"/>
        <v>0.000544496595900393</v>
      </c>
      <c r="AC115" s="67" t="str">
        <f t="shared" si="126"/>
        <v>14,547003081719-2,64827497361924i</v>
      </c>
      <c r="AD115" s="68">
        <f t="shared" si="127"/>
        <v>23.3970709095206</v>
      </c>
      <c r="AE115" s="31">
        <f t="shared" si="128"/>
        <v>-10.3176766693226</v>
      </c>
      <c r="AF115" s="32" t="str">
        <f t="shared" si="129"/>
        <v>75,4669735059805</v>
      </c>
      <c r="AG115" s="32" t="str">
        <f t="shared" si="110"/>
        <v>1+0,109946432074309i</v>
      </c>
      <c r="AH115" s="32">
        <f t="shared" si="130"/>
        <v>1.00602595290871</v>
      </c>
      <c r="AI115" s="32">
        <f t="shared" si="131"/>
        <v>0.109506598962941</v>
      </c>
      <c r="AJ115" s="32" t="str">
        <f t="shared" si="111"/>
        <v>1+0,000117276194212596i</v>
      </c>
      <c r="AK115" s="32">
        <f t="shared" si="132"/>
        <v>1.00000000687685</v>
      </c>
      <c r="AL115" s="32">
        <f t="shared" si="133"/>
        <v>0.000117276193674935</v>
      </c>
      <c r="AM115" s="32" t="str">
        <f t="shared" si="112"/>
        <v>1-0,00131118771200916i</v>
      </c>
      <c r="AN115" s="32">
        <f t="shared" si="134"/>
        <v>1.00000085960624</v>
      </c>
      <c r="AO115" s="32">
        <f t="shared" si="135"/>
        <v>-0.00131118696060619</v>
      </c>
      <c r="AP115" s="30" t="str">
        <f t="shared" si="136"/>
        <v>74,5558316981493-8,28724857442623i</v>
      </c>
      <c r="AQ115" s="32">
        <f t="shared" si="137"/>
        <v>37.502962506791</v>
      </c>
      <c r="AR115" s="31">
        <f t="shared" si="138"/>
        <v>-6.34267199746858</v>
      </c>
      <c r="AS115" t="str">
        <f t="shared" si="113"/>
        <v>-0,000338461538461538</v>
      </c>
      <c r="AT115" t="str">
        <f t="shared" si="114"/>
        <v>0,000102648334508459i</v>
      </c>
      <c r="AU115">
        <f t="shared" si="139"/>
        <v>0.000102648334508459</v>
      </c>
      <c r="AV115">
        <f t="shared" si="140"/>
        <v>1.5707963267949</v>
      </c>
      <c r="AW115" t="str">
        <f t="shared" si="115"/>
        <v>1+0,0166594446881354i</v>
      </c>
      <c r="AX115">
        <f t="shared" si="141"/>
        <v>1.00013875892164</v>
      </c>
      <c r="AY115">
        <f t="shared" si="142"/>
        <v>0.0166579037400889</v>
      </c>
      <c r="AZ115" t="str">
        <f t="shared" si="116"/>
        <v>1+0,145422480823619i</v>
      </c>
      <c r="BA115">
        <f t="shared" si="143"/>
        <v>1.01051852923581</v>
      </c>
      <c r="BB115">
        <f t="shared" si="144"/>
        <v>0.144410177937113</v>
      </c>
      <c r="BC115" s="30" t="str">
        <f t="shared" si="145"/>
        <v>-0,424451535767556+3,30436318799908i</v>
      </c>
      <c r="BD115" s="32">
        <f t="shared" si="146"/>
        <v>10.4528288038135</v>
      </c>
      <c r="BE115" s="31">
        <f t="shared" si="147"/>
        <v>97.3196661346876</v>
      </c>
      <c r="BF115" s="30" t="str">
        <f t="shared" si="148"/>
        <v>2,57636453567565+49,1926458586289i</v>
      </c>
      <c r="BG115" s="68">
        <f t="shared" si="149"/>
        <v>33.8498997133341</v>
      </c>
      <c r="BH115" s="31">
        <f t="shared" si="150"/>
        <v>87.001989465365</v>
      </c>
      <c r="BI115" s="30" t="str">
        <f t="shared" si="156"/>
        <v>-4,26125814557502+249,877081098722i</v>
      </c>
      <c r="BJ115" s="68">
        <f t="shared" si="151"/>
        <v>47.9557913106045</v>
      </c>
      <c r="BK115" s="31">
        <f t="shared" si="157"/>
        <v>90.976994137219</v>
      </c>
      <c r="BL115" s="32">
        <f t="shared" si="152"/>
        <v>33.8498997133341</v>
      </c>
      <c r="BM115" s="31">
        <f t="shared" si="153"/>
        <v>87.001989465365</v>
      </c>
      <c r="BO115">
        <f t="shared" si="154"/>
        <v>0</v>
      </c>
      <c r="BP115">
        <f t="shared" si="155"/>
        <v>0</v>
      </c>
    </row>
    <row r="116" spans="14:68">
      <c r="N116" s="7">
        <v>98</v>
      </c>
      <c r="O116" s="18">
        <f t="shared" si="117"/>
        <v>95.4992586021437</v>
      </c>
      <c r="P116" s="86" t="str">
        <f t="shared" si="105"/>
        <v>15</v>
      </c>
      <c r="Q116" s="4" t="str">
        <f t="shared" si="106"/>
        <v>1+0,175011532061197i</v>
      </c>
      <c r="R116" s="4">
        <f t="shared" si="118"/>
        <v>1.01519901317644</v>
      </c>
      <c r="S116" s="4">
        <f t="shared" si="119"/>
        <v>0.173256855816697</v>
      </c>
      <c r="T116" s="4" t="str">
        <f t="shared" si="107"/>
        <v>1+0,000120007907699107i</v>
      </c>
      <c r="U116" s="4">
        <f t="shared" si="120"/>
        <v>1.00000000720095</v>
      </c>
      <c r="V116" s="4">
        <f t="shared" si="121"/>
        <v>0.000120007907122993</v>
      </c>
      <c r="W116" t="str">
        <f t="shared" si="108"/>
        <v>1-0,0105006919236718i</v>
      </c>
      <c r="X116" s="4">
        <f t="shared" si="122"/>
        <v>1.00005513074574</v>
      </c>
      <c r="Y116" s="4">
        <f t="shared" si="123"/>
        <v>-0.0105003059979142</v>
      </c>
      <c r="Z116" t="str">
        <f t="shared" si="109"/>
        <v>0,999999935145896+0,000557179571460136i</v>
      </c>
      <c r="AA116" s="4">
        <f t="shared" si="124"/>
        <v>1.00000009037043</v>
      </c>
      <c r="AB116" s="4">
        <f t="shared" si="125"/>
        <v>0.000557179549936892</v>
      </c>
      <c r="AC116" s="67" t="str">
        <f t="shared" si="126"/>
        <v>14,5262884637077-2,70633592378771i</v>
      </c>
      <c r="AD116" s="68">
        <f t="shared" si="127"/>
        <v>23.3912795664629</v>
      </c>
      <c r="AE116" s="31">
        <f t="shared" si="128"/>
        <v>-10.5535579173358</v>
      </c>
      <c r="AF116" s="32" t="str">
        <f t="shared" si="129"/>
        <v>75,4669735059805</v>
      </c>
      <c r="AG116" s="32" t="str">
        <f t="shared" si="110"/>
        <v>1+0,112507413467913i</v>
      </c>
      <c r="AH116" s="32">
        <f t="shared" si="130"/>
        <v>1.00630905694287</v>
      </c>
      <c r="AI116" s="32">
        <f t="shared" si="131"/>
        <v>0.112036283233821</v>
      </c>
      <c r="AJ116" s="32" t="str">
        <f t="shared" si="111"/>
        <v>1+0,000120007907699107i</v>
      </c>
      <c r="AK116" s="32">
        <f t="shared" si="132"/>
        <v>1.00000000720095</v>
      </c>
      <c r="AL116" s="32">
        <f t="shared" si="133"/>
        <v>0.000120007907122993</v>
      </c>
      <c r="AM116" s="32" t="str">
        <f t="shared" si="112"/>
        <v>1-0,00134172919726361i</v>
      </c>
      <c r="AN116" s="32">
        <f t="shared" si="134"/>
        <v>1.00000090011821</v>
      </c>
      <c r="AO116" s="32">
        <f t="shared" si="135"/>
        <v>-0.00134172839212086</v>
      </c>
      <c r="AP116" s="30" t="str">
        <f t="shared" si="136"/>
        <v>74,5134276545876-8,47551262223737i</v>
      </c>
      <c r="AQ116" s="32">
        <f t="shared" si="137"/>
        <v>37.5005189240713</v>
      </c>
      <c r="AR116" s="31">
        <f t="shared" si="138"/>
        <v>-6.4892056091653</v>
      </c>
      <c r="AS116" t="str">
        <f t="shared" si="113"/>
        <v>-0,000338461538461538</v>
      </c>
      <c r="AT116" t="str">
        <f t="shared" si="114"/>
        <v>0,000105039321371797i</v>
      </c>
      <c r="AU116">
        <f t="shared" si="139"/>
        <v>0.000105039321371797</v>
      </c>
      <c r="AV116">
        <f t="shared" si="140"/>
        <v>1.5707963267949</v>
      </c>
      <c r="AW116" t="str">
        <f t="shared" si="115"/>
        <v>1+0,0170474930046578i</v>
      </c>
      <c r="AX116">
        <f t="shared" si="141"/>
        <v>1.00014529795312</v>
      </c>
      <c r="AY116">
        <f t="shared" si="142"/>
        <v>0.0170458418620326</v>
      </c>
      <c r="AZ116" t="str">
        <f t="shared" si="116"/>
        <v>1+0,148809805546892i</v>
      </c>
      <c r="BA116">
        <f t="shared" si="143"/>
        <v>1.011011551975</v>
      </c>
      <c r="BB116">
        <f t="shared" si="144"/>
        <v>0.147725740508948</v>
      </c>
      <c r="BC116" s="30" t="str">
        <f t="shared" si="145"/>
        <v>-0,424445985588219+3,22947227045498i</v>
      </c>
      <c r="BD116" s="32">
        <f t="shared" si="146"/>
        <v>10.2570087471616</v>
      </c>
      <c r="BE116" s="31">
        <f t="shared" si="147"/>
        <v>97.4874066596656</v>
      </c>
      <c r="BF116" s="30" t="str">
        <f t="shared" si="148"/>
        <v>2,57441199649138+48,060939204679i</v>
      </c>
      <c r="BG116" s="68">
        <f t="shared" si="149"/>
        <v>33.6482883136246</v>
      </c>
      <c r="BH116" s="31">
        <f t="shared" si="150"/>
        <v>86.9338487423298</v>
      </c>
      <c r="BI116" s="30" t="str">
        <f t="shared" si="156"/>
        <v>-4,25549224900113+244,236445695355i</v>
      </c>
      <c r="BJ116" s="68">
        <f t="shared" si="151"/>
        <v>47.7575276712329</v>
      </c>
      <c r="BK116" s="31">
        <f t="shared" si="157"/>
        <v>90.9982010505003</v>
      </c>
      <c r="BL116" s="32">
        <f t="shared" si="152"/>
        <v>33.6482883136246</v>
      </c>
      <c r="BM116" s="31">
        <f t="shared" si="153"/>
        <v>86.9338487423298</v>
      </c>
      <c r="BO116">
        <f t="shared" si="154"/>
        <v>0</v>
      </c>
      <c r="BP116">
        <f t="shared" si="155"/>
        <v>0</v>
      </c>
    </row>
    <row r="117" spans="14:68">
      <c r="N117" s="7">
        <v>99</v>
      </c>
      <c r="O117" s="18">
        <f t="shared" si="117"/>
        <v>97.7237220955811</v>
      </c>
      <c r="P117" s="86" t="str">
        <f t="shared" si="105"/>
        <v>15</v>
      </c>
      <c r="Q117" s="4" t="str">
        <f t="shared" si="106"/>
        <v>1+0,179088074326541i</v>
      </c>
      <c r="R117" s="4">
        <f t="shared" si="118"/>
        <v>1.01590970975082</v>
      </c>
      <c r="S117" s="4">
        <f t="shared" si="119"/>
        <v>0.177209491455707</v>
      </c>
      <c r="T117" s="4" t="str">
        <f t="shared" si="107"/>
        <v>1+0,000122803250966771i</v>
      </c>
      <c r="U117" s="4">
        <f t="shared" si="120"/>
        <v>1.00000000754032</v>
      </c>
      <c r="V117" s="4">
        <f t="shared" si="121"/>
        <v>0.000122803250349454</v>
      </c>
      <c r="W117" t="str">
        <f t="shared" si="108"/>
        <v>1-0,0107452844595925i</v>
      </c>
      <c r="X117" s="4">
        <f t="shared" si="122"/>
        <v>1.00005772890275</v>
      </c>
      <c r="Y117" s="4">
        <f t="shared" si="123"/>
        <v>-0.0107448709339821</v>
      </c>
      <c r="Z117" t="str">
        <f t="shared" si="109"/>
        <v>0,999999932089416+0,00057015795091715i</v>
      </c>
      <c r="AA117" s="4">
        <f t="shared" si="124"/>
        <v>1.00000009462946</v>
      </c>
      <c r="AB117" s="4">
        <f t="shared" si="125"/>
        <v>0.000570157927854579</v>
      </c>
      <c r="AC117" s="67" t="str">
        <f t="shared" si="126"/>
        <v>14,504656906024-2,76550063015018i</v>
      </c>
      <c r="AD117" s="68">
        <f t="shared" si="127"/>
        <v>23.3852236131433</v>
      </c>
      <c r="AE117" s="31">
        <f t="shared" si="128"/>
        <v>-10.794623240968</v>
      </c>
      <c r="AF117" s="32" t="str">
        <f t="shared" si="129"/>
        <v>75,4669735059805</v>
      </c>
      <c r="AG117" s="32" t="str">
        <f t="shared" si="110"/>
        <v>1+0,115128047781348i</v>
      </c>
      <c r="AH117" s="32">
        <f t="shared" si="130"/>
        <v>1.00660541792002</v>
      </c>
      <c r="AI117" s="32">
        <f t="shared" si="131"/>
        <v>0.114623401382898</v>
      </c>
      <c r="AJ117" s="32" t="str">
        <f t="shared" si="111"/>
        <v>1+0,000122803250966771i</v>
      </c>
      <c r="AK117" s="32">
        <f t="shared" si="132"/>
        <v>1.00000000754032</v>
      </c>
      <c r="AL117" s="32">
        <f t="shared" si="133"/>
        <v>0.000122803250349454</v>
      </c>
      <c r="AM117" s="32" t="str">
        <f t="shared" si="112"/>
        <v>1-0,00137298208509834i</v>
      </c>
      <c r="AN117" s="32">
        <f t="shared" si="134"/>
        <v>1.00000094253946</v>
      </c>
      <c r="AO117" s="32">
        <f t="shared" si="135"/>
        <v>-0.00137298122237238</v>
      </c>
      <c r="AP117" s="30" t="str">
        <f t="shared" si="136"/>
        <v>74,4690762769993-8,66782658480437i</v>
      </c>
      <c r="AQ117" s="32">
        <f t="shared" si="137"/>
        <v>37.4979616520367</v>
      </c>
      <c r="AR117" s="31">
        <f t="shared" si="138"/>
        <v>-6.63906705411122</v>
      </c>
      <c r="AS117" t="str">
        <f t="shared" si="113"/>
        <v>-0,000338461538461538</v>
      </c>
      <c r="AT117" t="str">
        <f t="shared" si="114"/>
        <v>0,000107486001473686i</v>
      </c>
      <c r="AU117">
        <f t="shared" si="139"/>
        <v>0.000107486001473686</v>
      </c>
      <c r="AV117">
        <f t="shared" si="140"/>
        <v>1.5707963267949</v>
      </c>
      <c r="AW117" t="str">
        <f t="shared" si="115"/>
        <v>1+0,0174445801276215i</v>
      </c>
      <c r="AX117">
        <f t="shared" si="141"/>
        <v>1.00015214511385</v>
      </c>
      <c r="AY117">
        <f t="shared" si="142"/>
        <v>0.0174428109109585</v>
      </c>
      <c r="AZ117" t="str">
        <f t="shared" si="116"/>
        <v>1+0,152276031198796i</v>
      </c>
      <c r="BA117">
        <f t="shared" si="143"/>
        <v>1.01152755260431</v>
      </c>
      <c r="BB117">
        <f t="shared" si="144"/>
        <v>0.15111514834128</v>
      </c>
      <c r="BC117" s="30" t="str">
        <f t="shared" si="145"/>
        <v>-0,424440173992556+3,15629365293786i</v>
      </c>
      <c r="BD117" s="32">
        <f t="shared" si="146"/>
        <v>10.0613812605294</v>
      </c>
      <c r="BE117" s="31">
        <f t="shared" si="147"/>
        <v>97.658860772406</v>
      </c>
      <c r="BF117" s="30" t="str">
        <f t="shared" si="148"/>
        <v>2,57237298524351+46,9547460991623i</v>
      </c>
      <c r="BG117" s="68">
        <f t="shared" si="149"/>
        <v>33.4466048736727</v>
      </c>
      <c r="BH117" s="31">
        <f t="shared" si="150"/>
        <v>86.864237531438</v>
      </c>
      <c r="BI117" s="30" t="str">
        <f t="shared" si="156"/>
        <v>-4,24946165769043+238,72524661703i</v>
      </c>
      <c r="BJ117" s="68">
        <f t="shared" si="151"/>
        <v>47.5593429125661</v>
      </c>
      <c r="BK117" s="31">
        <f t="shared" si="157"/>
        <v>91.0197937182948</v>
      </c>
      <c r="BL117" s="32">
        <f t="shared" si="152"/>
        <v>33.4466048736727</v>
      </c>
      <c r="BM117" s="31">
        <f t="shared" si="153"/>
        <v>86.864237531438</v>
      </c>
      <c r="BO117">
        <f t="shared" si="154"/>
        <v>0</v>
      </c>
      <c r="BP117">
        <f t="shared" si="155"/>
        <v>0</v>
      </c>
    </row>
    <row r="118" spans="14:68">
      <c r="N118" s="7">
        <v>100</v>
      </c>
      <c r="O118" s="18">
        <f t="shared" si="117"/>
        <v>100</v>
      </c>
      <c r="P118" s="86" t="str">
        <f t="shared" si="105"/>
        <v>15</v>
      </c>
      <c r="Q118" s="4" t="str">
        <f t="shared" si="106"/>
        <v>1+0,183259571459405i</v>
      </c>
      <c r="R118" s="4">
        <f t="shared" si="118"/>
        <v>1.01665336793397</v>
      </c>
      <c r="S118" s="4">
        <f t="shared" si="119"/>
        <v>0.18124841019297</v>
      </c>
      <c r="T118" s="4" t="str">
        <f t="shared" si="107"/>
        <v>1+0,000125663706143592i</v>
      </c>
      <c r="U118" s="4">
        <f t="shared" si="120"/>
        <v>1.00000000789568</v>
      </c>
      <c r="V118" s="4">
        <f t="shared" si="121"/>
        <v>0.000125663705482125</v>
      </c>
      <c r="W118" t="str">
        <f t="shared" si="108"/>
        <v>1-0,0109955742875643i</v>
      </c>
      <c r="X118" s="4">
        <f t="shared" si="122"/>
        <v>1.00006044949989</v>
      </c>
      <c r="Y118" s="4">
        <f t="shared" si="123"/>
        <v>-0.0109951311883361</v>
      </c>
      <c r="Z118" t="str">
        <f t="shared" si="109"/>
        <v>0,999999928888889+0,000583438635666674i</v>
      </c>
      <c r="AA118" s="4">
        <f t="shared" si="124"/>
        <v>1.00000009908921</v>
      </c>
      <c r="AB118" s="4">
        <f t="shared" si="125"/>
        <v>0.000583438610954684</v>
      </c>
      <c r="AC118" s="67" t="str">
        <f t="shared" si="126"/>
        <v>14,4820706441083-2,82577826479121i</v>
      </c>
      <c r="AD118" s="68">
        <f t="shared" si="127"/>
        <v>23.3788913567292</v>
      </c>
      <c r="AE118" s="31">
        <f t="shared" si="128"/>
        <v>-11.040972129848</v>
      </c>
      <c r="AF118" s="32" t="str">
        <f t="shared" si="129"/>
        <v>75,4669735059805</v>
      </c>
      <c r="AG118" s="32" t="str">
        <f t="shared" si="110"/>
        <v>1+0,117809724509617i</v>
      </c>
      <c r="AH118" s="32">
        <f t="shared" si="130"/>
        <v>1.00691565246997</v>
      </c>
      <c r="AI118" s="32">
        <f t="shared" si="131"/>
        <v>0.117269186531131</v>
      </c>
      <c r="AJ118" s="32" t="str">
        <f t="shared" si="111"/>
        <v>1+0,000125663706143592i</v>
      </c>
      <c r="AK118" s="32">
        <f t="shared" si="132"/>
        <v>1.00000000789568</v>
      </c>
      <c r="AL118" s="32">
        <f t="shared" si="133"/>
        <v>0.000125663705482125</v>
      </c>
      <c r="AM118" s="32" t="str">
        <f t="shared" si="112"/>
        <v>1-0,00140496294620815i</v>
      </c>
      <c r="AN118" s="32">
        <f t="shared" si="134"/>
        <v>1.00000098695995</v>
      </c>
      <c r="AO118" s="32">
        <f t="shared" si="135"/>
        <v>-0.00140496202178068</v>
      </c>
      <c r="AP118" s="30" t="str">
        <f t="shared" si="136"/>
        <v>74,4226906220833-8,86426152130826i</v>
      </c>
      <c r="AQ118" s="32">
        <f t="shared" si="137"/>
        <v>37.4952854729029</v>
      </c>
      <c r="AR118" s="31">
        <f t="shared" si="138"/>
        <v>-6.79232784942833</v>
      </c>
      <c r="AS118" t="str">
        <f t="shared" si="113"/>
        <v>-0,000338461538461538</v>
      </c>
      <c r="AT118" t="str">
        <f t="shared" si="114"/>
        <v>0,000109989672076302i</v>
      </c>
      <c r="AU118">
        <f t="shared" si="139"/>
        <v>0.000109989672076302</v>
      </c>
      <c r="AV118">
        <f t="shared" si="140"/>
        <v>1.5707963267949</v>
      </c>
      <c r="AW118" t="str">
        <f t="shared" si="115"/>
        <v>1+0,0178509165978752i</v>
      </c>
      <c r="AX118">
        <f t="shared" si="141"/>
        <v>1.00015931492107</v>
      </c>
      <c r="AY118">
        <f t="shared" si="142"/>
        <v>0.0178490208643745</v>
      </c>
      <c r="AZ118" t="str">
        <f t="shared" si="116"/>
        <v>1+0,155822995618054i</v>
      </c>
      <c r="BA118">
        <f t="shared" si="143"/>
        <v>1.01206758962205</v>
      </c>
      <c r="BB118">
        <f t="shared" si="144"/>
        <v>0.154579886879504</v>
      </c>
      <c r="BC118" s="30" t="str">
        <f t="shared" si="145"/>
        <v>-0,424434088675404+3,08478853453866i</v>
      </c>
      <c r="BD118" s="32">
        <f t="shared" si="146"/>
        <v>9.86595500248088</v>
      </c>
      <c r="BE118" s="31">
        <f t="shared" si="147"/>
        <v>97.8341015518356</v>
      </c>
      <c r="BF118" s="30" t="str">
        <f t="shared" si="148"/>
        <v>2,57024393641155+45,8734821019396i</v>
      </c>
      <c r="BG118" s="68">
        <f t="shared" si="149"/>
        <v>33.2448463592101</v>
      </c>
      <c r="BH118" s="31">
        <f t="shared" si="150"/>
        <v>86.7931294219876</v>
      </c>
      <c r="BI118" s="30" t="str">
        <f t="shared" si="156"/>
        <v>-4,24315456287152+233,340557501097i</v>
      </c>
      <c r="BJ118" s="68">
        <f t="shared" si="151"/>
        <v>47.3612404753838</v>
      </c>
      <c r="BK118" s="31">
        <f t="shared" si="157"/>
        <v>91.0417737024073</v>
      </c>
      <c r="BL118" s="32">
        <f t="shared" si="152"/>
        <v>33.2448463592101</v>
      </c>
      <c r="BM118" s="31">
        <f t="shared" si="153"/>
        <v>86.7931294219876</v>
      </c>
      <c r="BO118">
        <f t="shared" si="154"/>
        <v>0</v>
      </c>
      <c r="BP118">
        <f t="shared" si="155"/>
        <v>0</v>
      </c>
    </row>
    <row r="119" spans="14:68">
      <c r="N119" s="7">
        <v>1</v>
      </c>
      <c r="O119" s="18">
        <f>10^(2+(N119/100))</f>
        <v>102.329299228075</v>
      </c>
      <c r="P119" s="86" t="str">
        <f t="shared" si="105"/>
        <v>15</v>
      </c>
      <c r="Q119" s="4" t="str">
        <f t="shared" si="106"/>
        <v>1+0,187528235242783i</v>
      </c>
      <c r="R119" s="4">
        <f t="shared" si="118"/>
        <v>1.01743149106624</v>
      </c>
      <c r="S119" s="4">
        <f t="shared" si="119"/>
        <v>0.185375226166199</v>
      </c>
      <c r="T119" s="4" t="str">
        <f t="shared" si="107"/>
        <v>1+0,000128590789880765i</v>
      </c>
      <c r="U119" s="4">
        <f t="shared" si="120"/>
        <v>1.0000000082678</v>
      </c>
      <c r="V119" s="4">
        <f t="shared" si="121"/>
        <v>0.00012859078917199</v>
      </c>
      <c r="W119" t="str">
        <f t="shared" si="108"/>
        <v>1-0,011251694114567i</v>
      </c>
      <c r="X119" s="4">
        <f t="shared" si="122"/>
        <v>1.00006329830689</v>
      </c>
      <c r="Y119" s="4">
        <f t="shared" si="123"/>
        <v>-0.0112512193268129</v>
      </c>
      <c r="Z119" t="str">
        <f t="shared" si="109"/>
        <v>0,999999925537525+0,000597028667303552i</v>
      </c>
      <c r="AA119" s="4">
        <f t="shared" si="124"/>
        <v>1.00000010375914</v>
      </c>
      <c r="AB119" s="4">
        <f t="shared" si="125"/>
        <v>0.000597028640824178</v>
      </c>
      <c r="AC119" s="67" t="str">
        <f t="shared" si="126"/>
        <v>14,4584906207613-2,88717717431691i</v>
      </c>
      <c r="AD119" s="68">
        <f t="shared" si="127"/>
        <v>23.3722706247112</v>
      </c>
      <c r="AE119" s="31">
        <f t="shared" si="128"/>
        <v>-11.2927049792725</v>
      </c>
      <c r="AF119" s="32" t="str">
        <f t="shared" si="129"/>
        <v>75,4669735059805</v>
      </c>
      <c r="AG119" s="32" t="str">
        <f t="shared" si="110"/>
        <v>1+0,120553865513218i</v>
      </c>
      <c r="AH119" s="32">
        <f t="shared" si="130"/>
        <v>1.00724040550912</v>
      </c>
      <c r="AI119" s="32">
        <f t="shared" si="131"/>
        <v>0.119974893261137</v>
      </c>
      <c r="AJ119" s="32" t="str">
        <f t="shared" si="111"/>
        <v>1+0,000128590789880765i</v>
      </c>
      <c r="AK119" s="32">
        <f t="shared" si="132"/>
        <v>1.0000000082678</v>
      </c>
      <c r="AL119" s="32">
        <f t="shared" si="133"/>
        <v>0.00012859078917199</v>
      </c>
      <c r="AM119" s="32" t="str">
        <f t="shared" si="112"/>
        <v>1-0,00143768873726892i</v>
      </c>
      <c r="AN119" s="32">
        <f t="shared" si="134"/>
        <v>1.00000103347392</v>
      </c>
      <c r="AO119" s="32">
        <f t="shared" si="135"/>
        <v>-0.00143768774672709</v>
      </c>
      <c r="AP119" s="30" t="str">
        <f t="shared" si="136"/>
        <v>74,374180100792-9,064888565639i</v>
      </c>
      <c r="AQ119" s="32">
        <f t="shared" si="137"/>
        <v>37.49248493623</v>
      </c>
      <c r="AR119" s="31">
        <f t="shared" si="138"/>
        <v>-6.949060762037</v>
      </c>
      <c r="AS119" t="str">
        <f t="shared" si="113"/>
        <v>-0,000338461538461538</v>
      </c>
      <c r="AT119" t="str">
        <f t="shared" si="114"/>
        <v>0,000112551660658938i</v>
      </c>
      <c r="AU119">
        <f t="shared" si="139"/>
        <v>0.000112551660658938</v>
      </c>
      <c r="AV119">
        <f t="shared" si="140"/>
        <v>1.5707963267949</v>
      </c>
      <c r="AW119" t="str">
        <f t="shared" si="115"/>
        <v>1+0,0182667178603939i</v>
      </c>
      <c r="AX119">
        <f t="shared" si="141"/>
        <v>1.00016682257581</v>
      </c>
      <c r="AY119">
        <f t="shared" si="142"/>
        <v>0.0182646865636488</v>
      </c>
      <c r="AZ119" t="str">
        <f t="shared" si="116"/>
        <v>1+0,159452579452149i</v>
      </c>
      <c r="BA119">
        <f t="shared" si="143"/>
        <v>1.01263276911916</v>
      </c>
      <c r="BB119">
        <f t="shared" si="144"/>
        <v>0.158121460265459</v>
      </c>
      <c r="BC119" s="30" t="str">
        <f t="shared" si="145"/>
        <v>-0,424427716753107+3,01491900161417i</v>
      </c>
      <c r="BD119" s="32">
        <f t="shared" si="146"/>
        <v>9.6707390008476</v>
      </c>
      <c r="BE119" s="31">
        <f t="shared" si="147"/>
        <v>98.0132028694299</v>
      </c>
      <c r="BF119" s="30" t="str">
        <f t="shared" si="148"/>
        <v>2,56802116200883+44,8165761231505i</v>
      </c>
      <c r="BG119" s="68">
        <f t="shared" si="149"/>
        <v>33.0430096255588</v>
      </c>
      <c r="BH119" s="31">
        <f t="shared" si="150"/>
        <v>86.7204978901574</v>
      </c>
      <c r="BI119" s="30" t="str">
        <f t="shared" si="156"/>
        <v>-4,23655866150347+228,079518771888i</v>
      </c>
      <c r="BJ119" s="68">
        <f t="shared" si="151"/>
        <v>47.1632239370776</v>
      </c>
      <c r="BK119" s="31">
        <f t="shared" si="157"/>
        <v>91.064142107393</v>
      </c>
      <c r="BL119" s="32">
        <f t="shared" si="152"/>
        <v>33.0430096255588</v>
      </c>
      <c r="BM119" s="31">
        <f t="shared" si="153"/>
        <v>86.7204978901574</v>
      </c>
      <c r="BO119">
        <f t="shared" si="154"/>
        <v>0</v>
      </c>
      <c r="BP119">
        <f t="shared" si="155"/>
        <v>0</v>
      </c>
    </row>
    <row r="120" spans="14:68">
      <c r="N120" s="7">
        <v>2</v>
      </c>
      <c r="O120" s="18">
        <f t="shared" ref="O120:O183" si="158">10^(2+(N120/100))</f>
        <v>104.71285480509</v>
      </c>
      <c r="P120" s="86" t="str">
        <f t="shared" si="105"/>
        <v>15</v>
      </c>
      <c r="Q120" s="4" t="str">
        <f t="shared" si="106"/>
        <v>1+0,191896328978716i</v>
      </c>
      <c r="R120" s="4">
        <f t="shared" si="118"/>
        <v>1.0182456486897</v>
      </c>
      <c r="S120" s="4">
        <f t="shared" si="119"/>
        <v>0.189591564935197</v>
      </c>
      <c r="T120" s="4" t="str">
        <f t="shared" si="107"/>
        <v>1+0,000131586054156834i</v>
      </c>
      <c r="U120" s="4">
        <f t="shared" si="120"/>
        <v>1.00000000865744</v>
      </c>
      <c r="V120" s="4">
        <f t="shared" si="121"/>
        <v>0.000131586053397368</v>
      </c>
      <c r="W120" t="str">
        <f t="shared" si="108"/>
        <v>1-0,011513779738723i</v>
      </c>
      <c r="X120" s="4">
        <f t="shared" si="122"/>
        <v>1.00006628136533</v>
      </c>
      <c r="Y120" s="4">
        <f t="shared" si="123"/>
        <v>-0.0115132709962996</v>
      </c>
      <c r="Z120" t="str">
        <f t="shared" si="109"/>
        <v>0,999999922028217+0,000610935251442443i</v>
      </c>
      <c r="AA120" s="4">
        <f t="shared" si="124"/>
        <v>1.00000010864915</v>
      </c>
      <c r="AB120" s="4">
        <f t="shared" si="125"/>
        <v>0.000610935223069283</v>
      </c>
      <c r="AC120" s="67" t="str">
        <f t="shared" si="126"/>
        <v>14,4338764668483-2,94970480244094i</v>
      </c>
      <c r="AD120" s="68">
        <f t="shared" si="127"/>
        <v>23.3653487486657</v>
      </c>
      <c r="AE120" s="31">
        <f t="shared" si="128"/>
        <v>-11.5499230228809</v>
      </c>
      <c r="AF120" s="32" t="str">
        <f t="shared" si="129"/>
        <v>75,4669735059805</v>
      </c>
      <c r="AG120" s="32" t="str">
        <f t="shared" si="110"/>
        <v>1+0,123361925772032i</v>
      </c>
      <c r="AH120" s="32">
        <f t="shared" si="130"/>
        <v>1.00758035150066</v>
      </c>
      <c r="AI120" s="32">
        <f t="shared" si="131"/>
        <v>0.122741797624641</v>
      </c>
      <c r="AJ120" s="32" t="str">
        <f t="shared" si="111"/>
        <v>1+0,000131586054156834i</v>
      </c>
      <c r="AK120" s="32">
        <f t="shared" si="132"/>
        <v>1.00000000865744</v>
      </c>
      <c r="AL120" s="32">
        <f t="shared" si="133"/>
        <v>0.000131586053397368</v>
      </c>
      <c r="AM120" s="32" t="str">
        <f t="shared" si="112"/>
        <v>1-0,00147117680992825i</v>
      </c>
      <c r="AN120" s="32">
        <f t="shared" si="134"/>
        <v>1.00000108218002</v>
      </c>
      <c r="AO120" s="32">
        <f t="shared" si="135"/>
        <v>-0.00147117574854362</v>
      </c>
      <c r="AP120" s="30" t="str">
        <f t="shared" si="136"/>
        <v>74,3234503480203-9,26977882502844i</v>
      </c>
      <c r="AQ120" s="32">
        <f t="shared" si="137"/>
        <v>37.4895543491957</v>
      </c>
      <c r="AR120" s="31">
        <f t="shared" si="138"/>
        <v>-7.1093398095519</v>
      </c>
      <c r="AS120" t="str">
        <f t="shared" si="113"/>
        <v>-0,000338461538461538</v>
      </c>
      <c r="AT120" t="str">
        <f t="shared" si="114"/>
        <v>0,000115173325621852i</v>
      </c>
      <c r="AU120">
        <f t="shared" si="139"/>
        <v>0.000115173325621852</v>
      </c>
      <c r="AV120">
        <f t="shared" si="140"/>
        <v>1.5707963267949</v>
      </c>
      <c r="AW120" t="str">
        <f t="shared" si="115"/>
        <v>1+0,0186922043785108i</v>
      </c>
      <c r="AX120">
        <f t="shared" si="141"/>
        <v>1.00017468399501</v>
      </c>
      <c r="AY120">
        <f t="shared" si="142"/>
        <v>0.0186900278253645</v>
      </c>
      <c r="AZ120" t="str">
        <f t="shared" si="116"/>
        <v>1+0,163166707154474i</v>
      </c>
      <c r="BA120">
        <f t="shared" si="143"/>
        <v>1.01322424680997</v>
      </c>
      <c r="BB120">
        <f t="shared" si="144"/>
        <v>0.161741390738049</v>
      </c>
      <c r="BC120" s="30" t="str">
        <f t="shared" si="145"/>
        <v>-0,424421044736422+2,94664800768149i</v>
      </c>
      <c r="BD120" s="32">
        <f t="shared" si="146"/>
        <v>9.47574266659294</v>
      </c>
      <c r="BE120" s="31">
        <f t="shared" si="147"/>
        <v>98.1962393484911</v>
      </c>
      <c r="BF120" s="30" t="str">
        <f t="shared" si="148"/>
        <v>2,56570084970491+43,7834701280753i</v>
      </c>
      <c r="BG120" s="68">
        <f t="shared" si="149"/>
        <v>32.8410914152586</v>
      </c>
      <c r="BH120" s="31">
        <f t="shared" si="150"/>
        <v>86.6463163256101</v>
      </c>
      <c r="BI120" s="30" t="str">
        <f t="shared" si="156"/>
        <v>-4,22966113870425+222,939336105402i</v>
      </c>
      <c r="BJ120" s="68">
        <f t="shared" si="151"/>
        <v>46.9652970157886</v>
      </c>
      <c r="BK120" s="31">
        <f t="shared" si="157"/>
        <v>91.0868995389392</v>
      </c>
      <c r="BL120" s="32">
        <f t="shared" si="152"/>
        <v>32.8410914152586</v>
      </c>
      <c r="BM120" s="31">
        <f t="shared" si="153"/>
        <v>86.6463163256101</v>
      </c>
      <c r="BO120">
        <f t="shared" si="154"/>
        <v>0</v>
      </c>
      <c r="BP120">
        <f t="shared" si="155"/>
        <v>0</v>
      </c>
    </row>
    <row r="121" spans="14:68">
      <c r="N121" s="7">
        <v>3</v>
      </c>
      <c r="O121" s="18">
        <f t="shared" si="158"/>
        <v>107.151930523761</v>
      </c>
      <c r="P121" s="86" t="str">
        <f t="shared" si="105"/>
        <v>15</v>
      </c>
      <c r="Q121" s="4" t="str">
        <f t="shared" si="106"/>
        <v>1+0,196366168688323i</v>
      </c>
      <c r="R121" s="4">
        <f t="shared" si="118"/>
        <v>1.01909747924589</v>
      </c>
      <c r="S121" s="4">
        <f t="shared" si="119"/>
        <v>0.193899062119315</v>
      </c>
      <c r="T121" s="4" t="str">
        <f t="shared" si="107"/>
        <v>1+0,000134651087100564i</v>
      </c>
      <c r="U121" s="4">
        <f t="shared" si="120"/>
        <v>1.00000000906546</v>
      </c>
      <c r="V121" s="4">
        <f t="shared" si="121"/>
        <v>0.000134651086286782</v>
      </c>
      <c r="W121" t="str">
        <f t="shared" si="108"/>
        <v>1-0,0117819701212994i</v>
      </c>
      <c r="X121" s="4">
        <f t="shared" si="122"/>
        <v>1.00006940500144</v>
      </c>
      <c r="Y121" s="4">
        <f t="shared" si="123"/>
        <v>-0.0117814249960146</v>
      </c>
      <c r="Z121" t="str">
        <f t="shared" si="109"/>
        <v>0,99999991835352+0,000625165761538332i</v>
      </c>
      <c r="AA121" s="4">
        <f t="shared" si="124"/>
        <v>1.00000011376963</v>
      </c>
      <c r="AB121" s="4">
        <f t="shared" si="125"/>
        <v>0.000625165731135943</v>
      </c>
      <c r="AC121" s="67" t="str">
        <f t="shared" si="126"/>
        <v>14,4081864843819-3,01336760834646i</v>
      </c>
      <c r="AD121" s="68">
        <f t="shared" si="127"/>
        <v>23.3581125477966</v>
      </c>
      <c r="AE121" s="31">
        <f t="shared" si="128"/>
        <v>-11.8127282588425</v>
      </c>
      <c r="AF121" s="32" t="str">
        <f t="shared" si="129"/>
        <v>75,4669735059805</v>
      </c>
      <c r="AG121" s="32" t="str">
        <f t="shared" si="110"/>
        <v>1+0,126235394156779i</v>
      </c>
      <c r="AH121" s="32">
        <f t="shared" si="130"/>
        <v>1.00793619576733</v>
      </c>
      <c r="AI121" s="32">
        <f t="shared" si="131"/>
        <v>0.12557119711806</v>
      </c>
      <c r="AJ121" s="32" t="str">
        <f t="shared" si="111"/>
        <v>1+0,000134651087100564i</v>
      </c>
      <c r="AK121" s="32">
        <f t="shared" si="132"/>
        <v>1.00000000906546</v>
      </c>
      <c r="AL121" s="32">
        <f t="shared" si="133"/>
        <v>0.000134651086286782</v>
      </c>
      <c r="AM121" s="32" t="str">
        <f t="shared" si="112"/>
        <v>1-0,00150544492000553i</v>
      </c>
      <c r="AN121" s="32">
        <f t="shared" si="134"/>
        <v>1.00000113318156</v>
      </c>
      <c r="AO121" s="32">
        <f t="shared" si="135"/>
        <v>-0.00150544378271148</v>
      </c>
      <c r="AP121" s="30" t="str">
        <f t="shared" si="136"/>
        <v>74,2704030898605-9,4790032701014i</v>
      </c>
      <c r="AQ121" s="32">
        <f t="shared" si="137"/>
        <v>37.4864877665239</v>
      </c>
      <c r="AR121" s="31">
        <f t="shared" si="138"/>
        <v>-7.27324025936263</v>
      </c>
      <c r="AS121" t="str">
        <f t="shared" si="113"/>
        <v>-0,000338461538461538</v>
      </c>
      <c r="AT121" t="str">
        <f t="shared" si="114"/>
        <v>0,000117856057006511i</v>
      </c>
      <c r="AU121">
        <f t="shared" si="139"/>
        <v>0.000117856057006511</v>
      </c>
      <c r="AV121">
        <f t="shared" si="140"/>
        <v>1.5707963267949</v>
      </c>
      <c r="AW121" t="str">
        <f t="shared" si="115"/>
        <v>1+0,0191276017508097i</v>
      </c>
      <c r="AX121">
        <f t="shared" si="141"/>
        <v>1.00018291584527</v>
      </c>
      <c r="AY121">
        <f t="shared" si="142"/>
        <v>0.0191252695551299</v>
      </c>
      <c r="AZ121" t="str">
        <f t="shared" si="116"/>
        <v>1+0,1669673480047i</v>
      </c>
      <c r="BA121">
        <f t="shared" si="143"/>
        <v>1.01384323013951</v>
      </c>
      <c r="BB121">
        <f t="shared" si="144"/>
        <v>0.165441217957641</v>
      </c>
      <c r="BC121" s="30" t="str">
        <f t="shared" si="145"/>
        <v>-0,424414058502103+2,87993935377188i</v>
      </c>
      <c r="BD121" s="32">
        <f t="shared" si="146"/>
        <v>9.28097580801797</v>
      </c>
      <c r="BE121" s="31">
        <f t="shared" si="147"/>
        <v>98.3832863189178</v>
      </c>
      <c r="BF121" s="30" t="str">
        <f t="shared" si="148"/>
        <v>2,56327906116675+42,7736188492726i</v>
      </c>
      <c r="BG121" s="68">
        <f t="shared" si="149"/>
        <v>32.6390883558146</v>
      </c>
      <c r="BH121" s="31">
        <f t="shared" si="150"/>
        <v>86.5705580600752</v>
      </c>
      <c r="BI121" s="30" t="str">
        <f t="shared" si="156"/>
        <v>-4,22244864985746+217,917278927408i</v>
      </c>
      <c r="BJ121" s="68">
        <f t="shared" si="151"/>
        <v>46.7674635745419</v>
      </c>
      <c r="BK121" s="31">
        <f t="shared" si="157"/>
        <v>91.1100460595551</v>
      </c>
      <c r="BL121" s="32">
        <f t="shared" si="152"/>
        <v>32.6390883558146</v>
      </c>
      <c r="BM121" s="31">
        <f t="shared" si="153"/>
        <v>86.5705580600752</v>
      </c>
      <c r="BO121">
        <f t="shared" si="154"/>
        <v>0</v>
      </c>
      <c r="BP121">
        <f t="shared" si="155"/>
        <v>0</v>
      </c>
    </row>
    <row r="122" spans="14:68">
      <c r="N122" s="7">
        <v>4</v>
      </c>
      <c r="O122" s="18">
        <f t="shared" si="158"/>
        <v>109.647819614319</v>
      </c>
      <c r="P122" s="86" t="str">
        <f t="shared" si="105"/>
        <v>15</v>
      </c>
      <c r="Q122" s="4" t="str">
        <f t="shared" si="106"/>
        <v>1+0,200940124339781i</v>
      </c>
      <c r="R122" s="4">
        <f t="shared" si="118"/>
        <v>1.01998869286364</v>
      </c>
      <c r="S122" s="4">
        <f t="shared" si="119"/>
        <v>0.198299361913856</v>
      </c>
      <c r="T122" s="4" t="str">
        <f t="shared" si="107"/>
        <v>1+0,000137787513832993i</v>
      </c>
      <c r="U122" s="4">
        <f t="shared" si="120"/>
        <v>1.0000000094927</v>
      </c>
      <c r="V122" s="4">
        <f t="shared" si="121"/>
        <v>0.000137787512961009</v>
      </c>
      <c r="W122" t="str">
        <f t="shared" si="108"/>
        <v>1-0,0120564074603869i</v>
      </c>
      <c r="X122" s="4">
        <f t="shared" si="122"/>
        <v>1.00007267583954</v>
      </c>
      <c r="Y122" s="4">
        <f t="shared" si="123"/>
        <v>-0.012055823350413</v>
      </c>
      <c r="Z122" t="str">
        <f t="shared" si="109"/>
        <v>0,99999991450564+0,000639727742796036i</v>
      </c>
      <c r="AA122" s="4">
        <f t="shared" si="124"/>
        <v>1.00000011913143</v>
      </c>
      <c r="AB122" s="4">
        <f t="shared" si="125"/>
        <v>0.00063972771021929</v>
      </c>
      <c r="AC122" s="67" t="str">
        <f t="shared" si="126"/>
        <v>14,3813776323138-3,07817098072825i</v>
      </c>
      <c r="AD122" s="68">
        <f t="shared" si="127"/>
        <v>23.3505483122858</v>
      </c>
      <c r="AE122" s="31">
        <f t="shared" si="128"/>
        <v>-12.081223369206</v>
      </c>
      <c r="AF122" s="32" t="str">
        <f t="shared" si="129"/>
        <v>75,4669735059805</v>
      </c>
      <c r="AG122" s="32" t="str">
        <f t="shared" si="110"/>
        <v>1+0,129175794218431i</v>
      </c>
      <c r="AH122" s="32">
        <f t="shared" si="130"/>
        <v>1.00830867585872</v>
      </c>
      <c r="AI122" s="32">
        <f t="shared" si="131"/>
        <v>0.128464410623516</v>
      </c>
      <c r="AJ122" s="32" t="str">
        <f t="shared" si="111"/>
        <v>1+0,000137787513832993i</v>
      </c>
      <c r="AK122" s="32">
        <f t="shared" si="132"/>
        <v>1.0000000094927</v>
      </c>
      <c r="AL122" s="32">
        <f t="shared" si="133"/>
        <v>0.000137787512961009</v>
      </c>
      <c r="AM122" s="32" t="str">
        <f t="shared" si="112"/>
        <v>1-0,00154051123690632i</v>
      </c>
      <c r="AN122" s="32">
        <f t="shared" si="134"/>
        <v>1.00000118658673</v>
      </c>
      <c r="AO122" s="32">
        <f t="shared" si="135"/>
        <v>-0.00154051001827387</v>
      </c>
      <c r="AP122" s="30" t="str">
        <f t="shared" si="136"/>
        <v>74,2149360086255-9,69263261582962i</v>
      </c>
      <c r="AQ122" s="32">
        <f t="shared" si="137"/>
        <v>37.4832789800628</v>
      </c>
      <c r="AR122" s="31">
        <f t="shared" si="138"/>
        <v>-7.44083862574549</v>
      </c>
      <c r="AS122" t="str">
        <f t="shared" si="113"/>
        <v>-0,000338461538461538</v>
      </c>
      <c r="AT122" t="str">
        <f t="shared" si="114"/>
        <v>0,000120601277232604i</v>
      </c>
      <c r="AU122">
        <f t="shared" si="139"/>
        <v>0.000120601277232604</v>
      </c>
      <c r="AV122">
        <f t="shared" si="140"/>
        <v>1.5707963267949</v>
      </c>
      <c r="AW122" t="str">
        <f t="shared" si="115"/>
        <v>1+0,0195731408307407i</v>
      </c>
      <c r="AX122">
        <f t="shared" si="141"/>
        <v>1.00019153557805</v>
      </c>
      <c r="AY122">
        <f t="shared" si="142"/>
        <v>0.0195706418638917</v>
      </c>
      <c r="AZ122" t="str">
        <f t="shared" si="116"/>
        <v>1+0,170856517152911i</v>
      </c>
      <c r="BA122">
        <f t="shared" si="143"/>
        <v>1.01449098046933</v>
      </c>
      <c r="BB122">
        <f t="shared" si="144"/>
        <v>0.169222498249349</v>
      </c>
      <c r="BC122" s="30" t="str">
        <f t="shared" si="145"/>
        <v>-0,424406743263211+2,81475766923407i</v>
      </c>
      <c r="BD122" s="32">
        <f t="shared" si="146"/>
        <v>9.08644864529894</v>
      </c>
      <c r="BE122" s="31">
        <f t="shared" si="147"/>
        <v>98.5744197671847</v>
      </c>
      <c r="BF122" s="30" t="str">
        <f t="shared" si="148"/>
        <v>2,56075173064991+41,7864895058448i</v>
      </c>
      <c r="BG122" s="68">
        <f t="shared" si="149"/>
        <v>32.4369969575847</v>
      </c>
      <c r="BH122" s="31">
        <f t="shared" si="150"/>
        <v>86.4931963979787</v>
      </c>
      <c r="BI122" s="30" t="str">
        <f t="shared" si="156"/>
        <v>-4,21490730243364+213,010678944125i</v>
      </c>
      <c r="BJ122" s="68">
        <f t="shared" si="151"/>
        <v>46.5697276253617</v>
      </c>
      <c r="BK122" s="31">
        <f t="shared" si="157"/>
        <v>91.1335811414392</v>
      </c>
      <c r="BL122" s="32">
        <f t="shared" si="152"/>
        <v>32.4369969575847</v>
      </c>
      <c r="BM122" s="31">
        <f t="shared" si="153"/>
        <v>86.4931963979787</v>
      </c>
      <c r="BO122">
        <f t="shared" si="154"/>
        <v>0</v>
      </c>
      <c r="BP122">
        <f t="shared" si="155"/>
        <v>0</v>
      </c>
    </row>
    <row r="123" spans="14:68">
      <c r="N123" s="7">
        <v>5</v>
      </c>
      <c r="O123" s="18">
        <f t="shared" si="158"/>
        <v>112.201845430196</v>
      </c>
      <c r="P123" s="86" t="str">
        <f t="shared" si="105"/>
        <v>15</v>
      </c>
      <c r="Q123" s="4" t="str">
        <f t="shared" si="106"/>
        <v>1+0,205620621104921i</v>
      </c>
      <c r="R123" s="4">
        <f t="shared" si="118"/>
        <v>1.02092107423815</v>
      </c>
      <c r="S123" s="4">
        <f t="shared" si="119"/>
        <v>0.202794115479168</v>
      </c>
      <c r="T123" s="4" t="str">
        <f t="shared" si="107"/>
        <v>1+0,000140996997329089i</v>
      </c>
      <c r="U123" s="4">
        <f t="shared" si="120"/>
        <v>1.00000000994008</v>
      </c>
      <c r="V123" s="4">
        <f t="shared" si="121"/>
        <v>0.000140996996394742</v>
      </c>
      <c r="W123" t="str">
        <f t="shared" si="108"/>
        <v>1-0,0123372372662953i</v>
      </c>
      <c r="X123" s="4">
        <f t="shared" si="122"/>
        <v>1.00007610081602</v>
      </c>
      <c r="Y123" s="4">
        <f t="shared" si="123"/>
        <v>-0.0123366113837541</v>
      </c>
      <c r="Z123" t="str">
        <f t="shared" si="109"/>
        <v>0,999999910476415+0,000654628916170768i</v>
      </c>
      <c r="AA123" s="4">
        <f t="shared" si="124"/>
        <v>1.00000012474592</v>
      </c>
      <c r="AB123" s="4">
        <f t="shared" si="125"/>
        <v>0.000654628881264155</v>
      </c>
      <c r="AC123" s="67" t="str">
        <f t="shared" si="126"/>
        <v>14,3534055153953-3,14411914743392i</v>
      </c>
      <c r="AD123" s="68">
        <f t="shared" si="127"/>
        <v>23.3426417864896</v>
      </c>
      <c r="AE123" s="31">
        <f t="shared" si="128"/>
        <v>-12.3555116320535</v>
      </c>
      <c r="AF123" s="32" t="str">
        <f t="shared" si="129"/>
        <v>75,4669735059805</v>
      </c>
      <c r="AG123" s="32" t="str">
        <f t="shared" si="110"/>
        <v>1+0,132184684996021i</v>
      </c>
      <c r="AH123" s="32">
        <f t="shared" si="130"/>
        <v>1.00869856297484</v>
      </c>
      <c r="AI123" s="32">
        <f t="shared" si="131"/>
        <v>0.131422778312499</v>
      </c>
      <c r="AJ123" s="32" t="str">
        <f t="shared" si="111"/>
        <v>1+0,000140996997329089i</v>
      </c>
      <c r="AK123" s="32">
        <f t="shared" si="132"/>
        <v>1.00000000994008</v>
      </c>
      <c r="AL123" s="32">
        <f t="shared" si="133"/>
        <v>0.000140996996394742</v>
      </c>
      <c r="AM123" s="32" t="str">
        <f t="shared" si="112"/>
        <v>1-0,001576394353256i</v>
      </c>
      <c r="AN123" s="32">
        <f t="shared" si="134"/>
        <v>1.00000124250881</v>
      </c>
      <c r="AO123" s="32">
        <f t="shared" si="135"/>
        <v>-0.00157639304746789</v>
      </c>
      <c r="AP123" s="30" t="str">
        <f t="shared" si="136"/>
        <v>74,1569426058725-9,91073719285556i</v>
      </c>
      <c r="AQ123" s="32">
        <f t="shared" si="137"/>
        <v>37.4799215080051</v>
      </c>
      <c r="AR123" s="31">
        <f t="shared" si="138"/>
        <v>-7.61221266484586</v>
      </c>
      <c r="AS123" t="str">
        <f t="shared" si="113"/>
        <v>-0,000338461538461538</v>
      </c>
      <c r="AT123" t="str">
        <f t="shared" si="114"/>
        <v>0,000123410441852232i</v>
      </c>
      <c r="AU123">
        <f t="shared" si="139"/>
        <v>0.000123410441852232</v>
      </c>
      <c r="AV123">
        <f t="shared" si="140"/>
        <v>1.5707963267949</v>
      </c>
      <c r="AW123" t="str">
        <f t="shared" si="115"/>
        <v>1+0,0200290578490212i</v>
      </c>
      <c r="AX123">
        <f t="shared" si="141"/>
        <v>1.00020056146671</v>
      </c>
      <c r="AY123">
        <f t="shared" si="142"/>
        <v>0.0200263801867977</v>
      </c>
      <c r="AZ123" t="str">
        <f t="shared" si="116"/>
        <v>1+0,17483627668807i</v>
      </c>
      <c r="BA123">
        <f t="shared" si="143"/>
        <v>1.01516881534361</v>
      </c>
      <c r="BB123">
        <f t="shared" si="144"/>
        <v>0.173086803760096</v>
      </c>
      <c r="BC123" s="30" t="str">
        <f t="shared" si="145"/>
        <v>-0,424399083538001+2,75106839297612i</v>
      </c>
      <c r="BD123" s="32">
        <f t="shared" si="146"/>
        <v>8.89217182534236</v>
      </c>
      <c r="BE123" s="31">
        <f t="shared" si="147"/>
        <v>98.7697162812347</v>
      </c>
      <c r="BF123" s="30" t="str">
        <f t="shared" si="148"/>
        <v>2,55811466387343+40,8215615296784i</v>
      </c>
      <c r="BG123" s="68">
        <f t="shared" si="149"/>
        <v>32.2348136118319</v>
      </c>
      <c r="BH123" s="31">
        <f t="shared" si="150"/>
        <v>86.4142046491811</v>
      </c>
      <c r="BI123" s="30" t="str">
        <f t="shared" si="156"/>
        <v>-4,20702263755462+208,216928704594i</v>
      </c>
      <c r="BJ123" s="68">
        <f t="shared" si="151"/>
        <v>46.3720933333474</v>
      </c>
      <c r="BK123" s="31">
        <f t="shared" si="157"/>
        <v>91.1575036163888</v>
      </c>
      <c r="BL123" s="32">
        <f t="shared" si="152"/>
        <v>32.2348136118319</v>
      </c>
      <c r="BM123" s="31">
        <f t="shared" si="153"/>
        <v>86.4142046491811</v>
      </c>
      <c r="BO123">
        <f t="shared" si="154"/>
        <v>0</v>
      </c>
      <c r="BP123">
        <f t="shared" si="155"/>
        <v>0</v>
      </c>
    </row>
    <row r="124" spans="14:68">
      <c r="N124" s="7">
        <v>6</v>
      </c>
      <c r="O124" s="18">
        <f t="shared" si="158"/>
        <v>114.815362149688</v>
      </c>
      <c r="P124" s="86" t="str">
        <f t="shared" si="105"/>
        <v>15</v>
      </c>
      <c r="Q124" s="4" t="str">
        <f t="shared" si="106"/>
        <v>1+0,210410140645082i</v>
      </c>
      <c r="R124" s="4">
        <f t="shared" si="118"/>
        <v>1.02189648560228</v>
      </c>
      <c r="S124" s="4">
        <f t="shared" si="119"/>
        <v>0.207384979195975</v>
      </c>
      <c r="T124" s="4" t="str">
        <f t="shared" si="107"/>
        <v>1+0,000144281239299485i</v>
      </c>
      <c r="U124" s="4">
        <f t="shared" si="120"/>
        <v>1.00000001040854</v>
      </c>
      <c r="V124" s="4">
        <f t="shared" si="121"/>
        <v>0.000144281238298314</v>
      </c>
      <c r="W124" t="str">
        <f t="shared" si="108"/>
        <v>1-0,0126246084387049i</v>
      </c>
      <c r="X124" s="4">
        <f t="shared" si="122"/>
        <v>1.00007968719409</v>
      </c>
      <c r="Y124" s="4">
        <f t="shared" si="123"/>
        <v>-0.0126239377963653</v>
      </c>
      <c r="Z124" t="str">
        <f t="shared" si="109"/>
        <v>0,999999906257299+0,000669877182461893i</v>
      </c>
      <c r="AA124" s="4">
        <f t="shared" si="124"/>
        <v>1.00000013062501</v>
      </c>
      <c r="AB124" s="4">
        <f t="shared" si="125"/>
        <v>0.000669877145058783</v>
      </c>
      <c r="AC124" s="67" t="str">
        <f t="shared" si="126"/>
        <v>14,3242243764905-3,2112150806383i</v>
      </c>
      <c r="AD124" s="68">
        <f t="shared" si="127"/>
        <v>23.3343781520229</v>
      </c>
      <c r="AE124" s="31">
        <f t="shared" si="128"/>
        <v>-12.6356968260919</v>
      </c>
      <c r="AF124" s="32" t="str">
        <f t="shared" si="129"/>
        <v>75,4669735059805</v>
      </c>
      <c r="AG124" s="32" t="str">
        <f t="shared" si="110"/>
        <v>1+0,135263661843267i</v>
      </c>
      <c r="AH124" s="32">
        <f t="shared" si="130"/>
        <v>1.00910666344805</v>
      </c>
      <c r="AI124" s="32">
        <f t="shared" si="131"/>
        <v>0.134447661509152</v>
      </c>
      <c r="AJ124" s="32" t="str">
        <f t="shared" si="111"/>
        <v>1+0,000144281239299485i</v>
      </c>
      <c r="AK124" s="32">
        <f t="shared" si="132"/>
        <v>1.00000001040854</v>
      </c>
      <c r="AL124" s="32">
        <f t="shared" si="133"/>
        <v>0.000144281238298314</v>
      </c>
      <c r="AM124" s="32" t="str">
        <f t="shared" si="112"/>
        <v>1-0,00161311329475781i</v>
      </c>
      <c r="AN124" s="32">
        <f t="shared" si="134"/>
        <v>1.0000013010664</v>
      </c>
      <c r="AO124" s="32">
        <f t="shared" si="135"/>
        <v>-0.00161311189558074</v>
      </c>
      <c r="AP124" s="30" t="str">
        <f t="shared" si="136"/>
        <v>74,0963120637039-10,133386808632i</v>
      </c>
      <c r="AQ124" s="32">
        <f t="shared" si="137"/>
        <v>37.4764085837486</v>
      </c>
      <c r="AR124" s="31">
        <f t="shared" si="138"/>
        <v>-7.78744136735959</v>
      </c>
      <c r="AS124" t="str">
        <f t="shared" si="113"/>
        <v>-0,000338461538461538</v>
      </c>
      <c r="AT124" t="str">
        <f t="shared" si="114"/>
        <v>0,00012628504032166i</v>
      </c>
      <c r="AU124">
        <f t="shared" si="139"/>
        <v>0.00012628504032166</v>
      </c>
      <c r="AV124">
        <f t="shared" si="140"/>
        <v>1.5707963267949</v>
      </c>
      <c r="AW124" t="str">
        <f t="shared" si="115"/>
        <v>1+0,0204955945388892i</v>
      </c>
      <c r="AX124">
        <f t="shared" si="141"/>
        <v>1.0002100126451</v>
      </c>
      <c r="AY124">
        <f t="shared" si="142"/>
        <v>0.0204927254046596</v>
      </c>
      <c r="AZ124" t="str">
        <f t="shared" si="116"/>
        <v>1+0,178908736731361i</v>
      </c>
      <c r="BA124">
        <f t="shared" si="143"/>
        <v>1.01587811083752</v>
      </c>
      <c r="BB124">
        <f t="shared" si="144"/>
        <v>0.177035721524122</v>
      </c>
      <c r="BC124" s="30" t="str">
        <f t="shared" si="145"/>
        <v>-0,424391063117404+2,68883775513642i</v>
      </c>
      <c r="BD124" s="32">
        <f t="shared" si="146"/>
        <v>8.69815643694406</v>
      </c>
      <c r="BE124" s="31">
        <f t="shared" si="147"/>
        <v>98.969252989978</v>
      </c>
      <c r="BF124" s="30" t="str">
        <f t="shared" si="148"/>
        <v>2,55536353721267+39,8783262985238i</v>
      </c>
      <c r="BG124" s="68">
        <f t="shared" si="149"/>
        <v>32.032534588967</v>
      </c>
      <c r="BH124" s="31">
        <f t="shared" si="150"/>
        <v>86.3335561638861</v>
      </c>
      <c r="BI124" s="30" t="str">
        <f t="shared" si="156"/>
        <v>-4,19877961134315+203,533480193952i</v>
      </c>
      <c r="BJ124" s="68">
        <f t="shared" si="151"/>
        <v>46.1745650206926</v>
      </c>
      <c r="BK124" s="31">
        <f t="shared" si="157"/>
        <v>91.1818116226184</v>
      </c>
      <c r="BL124" s="32">
        <f t="shared" si="152"/>
        <v>32.032534588967</v>
      </c>
      <c r="BM124" s="31">
        <f t="shared" si="153"/>
        <v>86.3335561638861</v>
      </c>
      <c r="BO124">
        <f t="shared" si="154"/>
        <v>0</v>
      </c>
      <c r="BP124">
        <f t="shared" si="155"/>
        <v>0</v>
      </c>
    </row>
    <row r="125" spans="14:68">
      <c r="N125" s="7">
        <v>7</v>
      </c>
      <c r="O125" s="18">
        <f t="shared" si="158"/>
        <v>117.489755493953</v>
      </c>
      <c r="P125" s="86" t="str">
        <f t="shared" si="105"/>
        <v>15</v>
      </c>
      <c r="Q125" s="4" t="str">
        <f t="shared" si="106"/>
        <v>1+0,21531122242692i</v>
      </c>
      <c r="R125" s="4">
        <f t="shared" si="118"/>
        <v>1.02291686979098</v>
      </c>
      <c r="S125" s="4">
        <f t="shared" si="119"/>
        <v>0.212073612780488</v>
      </c>
      <c r="T125" s="4" t="str">
        <f t="shared" si="107"/>
        <v>1+0,000147641981092745i</v>
      </c>
      <c r="U125" s="4">
        <f t="shared" si="120"/>
        <v>1.00000001089908</v>
      </c>
      <c r="V125" s="4">
        <f t="shared" si="121"/>
        <v>0.000147641980019971</v>
      </c>
      <c r="W125" t="str">
        <f t="shared" si="108"/>
        <v>1-0,0129186733456152i</v>
      </c>
      <c r="X125" s="4">
        <f t="shared" si="122"/>
        <v>1.00008344257917</v>
      </c>
      <c r="Y125" s="4">
        <f t="shared" si="123"/>
        <v>-0.0129179547426396</v>
      </c>
      <c r="Z125" t="str">
        <f t="shared" si="109"/>
        <v>0,999999901839341+0,00068548062650203i</v>
      </c>
      <c r="AA125" s="4">
        <f t="shared" si="124"/>
        <v>1.00000013678118</v>
      </c>
      <c r="AB125" s="4">
        <f t="shared" si="125"/>
        <v>0.000685480586423877</v>
      </c>
      <c r="AC125" s="67" t="str">
        <f t="shared" si="126"/>
        <v>14,2937870927528-3,27946039750565i</v>
      </c>
      <c r="AD125" s="68">
        <f t="shared" si="127"/>
        <v>23.3257420107763</v>
      </c>
      <c r="AE125" s="31">
        <f t="shared" si="128"/>
        <v>-12.921883127314</v>
      </c>
      <c r="AF125" s="32" t="str">
        <f t="shared" si="129"/>
        <v>75,4669735059805</v>
      </c>
      <c r="AG125" s="32" t="str">
        <f t="shared" si="110"/>
        <v>1+0,138414357274449i</v>
      </c>
      <c r="AH125" s="32">
        <f t="shared" si="130"/>
        <v>1.00953382028523</v>
      </c>
      <c r="AI125" s="32">
        <f t="shared" si="131"/>
        <v>0.137540442510046</v>
      </c>
      <c r="AJ125" s="32" t="str">
        <f t="shared" si="111"/>
        <v>1+0,000147641981092745i</v>
      </c>
      <c r="AK125" s="32">
        <f t="shared" si="132"/>
        <v>1.00000001089908</v>
      </c>
      <c r="AL125" s="32">
        <f t="shared" si="133"/>
        <v>0.000147641980019971</v>
      </c>
      <c r="AM125" s="32" t="str">
        <f t="shared" si="112"/>
        <v>1-0,00165068753028059i</v>
      </c>
      <c r="AN125" s="32">
        <f t="shared" si="134"/>
        <v>1.00000136238373</v>
      </c>
      <c r="AO125" s="32">
        <f t="shared" si="135"/>
        <v>-0.00165068603103546</v>
      </c>
      <c r="AP125" s="30" t="str">
        <f t="shared" si="136"/>
        <v>74,0329291046551-10,3606505978045i</v>
      </c>
      <c r="AQ125" s="32">
        <f t="shared" si="137"/>
        <v>37.4727331443903</v>
      </c>
      <c r="AR125" s="31">
        <f t="shared" si="138"/>
        <v>-7.96660494873277</v>
      </c>
      <c r="AS125" t="str">
        <f t="shared" si="113"/>
        <v>-0,000338461538461538</v>
      </c>
      <c r="AT125" t="str">
        <f t="shared" si="114"/>
        <v>0,000129226596791047i</v>
      </c>
      <c r="AU125">
        <f t="shared" si="139"/>
        <v>0.000129226596791047</v>
      </c>
      <c r="AV125">
        <f t="shared" si="140"/>
        <v>1.5707963267949</v>
      </c>
      <c r="AW125" t="str">
        <f t="shared" si="115"/>
        <v>1+0,020972998264273i</v>
      </c>
      <c r="AX125">
        <f t="shared" si="141"/>
        <v>1.00021990914808</v>
      </c>
      <c r="AY125">
        <f t="shared" si="142"/>
        <v>0.0209699239680615</v>
      </c>
      <c r="AZ125" t="str">
        <f t="shared" si="116"/>
        <v>1+0,183076056555004i</v>
      </c>
      <c r="BA125">
        <f t="shared" si="143"/>
        <v>1.01662030398951</v>
      </c>
      <c r="BB125">
        <f t="shared" si="144"/>
        <v>0.181070852431463</v>
      </c>
      <c r="BC125" s="30" t="str">
        <f t="shared" si="145"/>
        <v>-0,424382665030929+2,62803275917387i</v>
      </c>
      <c r="BD125" s="32">
        <f t="shared" si="146"/>
        <v>8.5044140262334</v>
      </c>
      <c r="BE125" s="31">
        <f t="shared" si="147"/>
        <v>99.1731074970788</v>
      </c>
      <c r="BF125" s="30" t="str">
        <f t="shared" si="148"/>
        <v>2,55249389725108+38,9562868757678i</v>
      </c>
      <c r="BG125" s="68">
        <f t="shared" si="149"/>
        <v>31.8301560370097</v>
      </c>
      <c r="BH125" s="31">
        <f t="shared" si="150"/>
        <v>86.2512243697648</v>
      </c>
      <c r="BI125" s="30" t="str">
        <f t="shared" si="156"/>
        <v>-4,19016257609479+198,957843456781i</v>
      </c>
      <c r="BJ125" s="68">
        <f t="shared" si="151"/>
        <v>45.9771471706237</v>
      </c>
      <c r="BK125" s="31">
        <f t="shared" si="157"/>
        <v>91.206502548346</v>
      </c>
      <c r="BL125" s="32">
        <f t="shared" si="152"/>
        <v>31.8301560370097</v>
      </c>
      <c r="BM125" s="31">
        <f t="shared" si="153"/>
        <v>86.2512243697648</v>
      </c>
      <c r="BO125">
        <f t="shared" si="154"/>
        <v>0</v>
      </c>
      <c r="BP125">
        <f t="shared" si="155"/>
        <v>0</v>
      </c>
    </row>
    <row r="126" spans="14:68">
      <c r="N126" s="7">
        <v>8</v>
      </c>
      <c r="O126" s="18">
        <f t="shared" si="158"/>
        <v>120.226443461741</v>
      </c>
      <c r="P126" s="86" t="str">
        <f t="shared" si="105"/>
        <v>15</v>
      </c>
      <c r="Q126" s="4" t="str">
        <f t="shared" si="106"/>
        <v>1+0,220326465068871i</v>
      </c>
      <c r="R126" s="4">
        <f t="shared" si="118"/>
        <v>1.02398425339931</v>
      </c>
      <c r="S126" s="4">
        <f t="shared" si="119"/>
        <v>0.216861677252742</v>
      </c>
      <c r="T126" s="4" t="str">
        <f t="shared" si="107"/>
        <v>1+0,000151081004618654i</v>
      </c>
      <c r="U126" s="4">
        <f t="shared" si="120"/>
        <v>1.00000001141273</v>
      </c>
      <c r="V126" s="4">
        <f t="shared" si="121"/>
        <v>0.000151081003469156</v>
      </c>
      <c r="W126" t="str">
        <f t="shared" si="108"/>
        <v>1-0,0132195879041323i</v>
      </c>
      <c r="X126" s="4">
        <f t="shared" si="122"/>
        <v>1.00008737493499</v>
      </c>
      <c r="Y126" s="4">
        <f t="shared" si="123"/>
        <v>-0.0132188179108044</v>
      </c>
      <c r="Z126" t="str">
        <f t="shared" si="109"/>
        <v>0,999999897213172+0,00070144752144375i</v>
      </c>
      <c r="AA126" s="4">
        <f t="shared" si="124"/>
        <v>1.00000014322748</v>
      </c>
      <c r="AB126" s="4">
        <f t="shared" si="125"/>
        <v>0.000701447478499235</v>
      </c>
      <c r="AC126" s="67" t="str">
        <f t="shared" si="126"/>
        <v>14,2620451761036-3,34885525631595i</v>
      </c>
      <c r="AD126" s="68">
        <f t="shared" si="127"/>
        <v>23.3167173679179</v>
      </c>
      <c r="AE126" s="31">
        <f t="shared" si="128"/>
        <v>-13.214174997356</v>
      </c>
      <c r="AF126" s="32" t="str">
        <f t="shared" si="129"/>
        <v>75,4669735059805</v>
      </c>
      <c r="AG126" s="32" t="str">
        <f t="shared" si="110"/>
        <v>1+0,141638441829988i</v>
      </c>
      <c r="AH126" s="32">
        <f t="shared" si="130"/>
        <v>1.00998091477217</v>
      </c>
      <c r="AI126" s="32">
        <f t="shared" si="131"/>
        <v>0.140702524357081</v>
      </c>
      <c r="AJ126" s="32" t="str">
        <f t="shared" si="111"/>
        <v>1+0,000151081004618654i</v>
      </c>
      <c r="AK126" s="32">
        <f t="shared" si="132"/>
        <v>1.00000001141273</v>
      </c>
      <c r="AL126" s="32">
        <f t="shared" si="133"/>
        <v>0.000151081003469156</v>
      </c>
      <c r="AM126" s="32" t="str">
        <f t="shared" si="112"/>
        <v>1-0,00168913698218135i</v>
      </c>
      <c r="AN126" s="32">
        <f t="shared" si="134"/>
        <v>1.00000142659085</v>
      </c>
      <c r="AO126" s="32">
        <f t="shared" si="135"/>
        <v>-0.00168913537571137</v>
      </c>
      <c r="AP126" s="30" t="str">
        <f t="shared" si="136"/>
        <v>73,9666738505289-10,5925968612453i</v>
      </c>
      <c r="AQ126" s="32">
        <f t="shared" si="137"/>
        <v>37.468887818852</v>
      </c>
      <c r="AR126" s="31">
        <f t="shared" si="138"/>
        <v>-8.14978483668858</v>
      </c>
      <c r="AS126" t="str">
        <f t="shared" si="113"/>
        <v>-0,000338461538461538</v>
      </c>
      <c r="AT126" t="str">
        <f t="shared" si="114"/>
        <v>0,000132236670912569i</v>
      </c>
      <c r="AU126">
        <f t="shared" si="139"/>
        <v>0.000132236670912569</v>
      </c>
      <c r="AV126">
        <f t="shared" si="140"/>
        <v>1.5707963267949</v>
      </c>
      <c r="AW126" t="str">
        <f t="shared" si="115"/>
        <v>1+0,021461522150947i</v>
      </c>
      <c r="AX126">
        <f t="shared" si="141"/>
        <v>1.00023027195393</v>
      </c>
      <c r="AY126">
        <f t="shared" si="142"/>
        <v>0.0214582280241642</v>
      </c>
      <c r="AZ126" t="str">
        <f t="shared" si="116"/>
        <v>1+0,187340445727131i</v>
      </c>
      <c r="BA126">
        <f t="shared" si="143"/>
        <v>1.01739689531925</v>
      </c>
      <c r="BB126">
        <f t="shared" si="144"/>
        <v>0.185193810093704</v>
      </c>
      <c r="BC126" s="30" t="str">
        <f t="shared" si="145"/>
        <v>-0,424373871511067+2,56862116436782i</v>
      </c>
      <c r="BD126" s="32">
        <f t="shared" si="146"/>
        <v>8.3109566123818</v>
      </c>
      <c r="BE126" s="31">
        <f t="shared" si="147"/>
        <v>99.3813578087025</v>
      </c>
      <c r="BF126" s="30" t="str">
        <f t="shared" si="148"/>
        <v>2,54950116072875+38,0549577567627i</v>
      </c>
      <c r="BG126" s="68">
        <f t="shared" si="149"/>
        <v>31.6276739802997</v>
      </c>
      <c r="BH126" s="31">
        <f t="shared" si="150"/>
        <v>86.1671828113465</v>
      </c>
      <c r="BI126" s="30" t="str">
        <f t="shared" si="156"/>
        <v>-4,18115526133453+194,487585249723i</v>
      </c>
      <c r="BJ126" s="68">
        <f t="shared" si="151"/>
        <v>45.7798444312338</v>
      </c>
      <c r="BK126" s="31">
        <f t="shared" si="157"/>
        <v>91.2315729720139</v>
      </c>
      <c r="BL126" s="32">
        <f t="shared" si="152"/>
        <v>31.6276739802997</v>
      </c>
      <c r="BM126" s="31">
        <f t="shared" si="153"/>
        <v>86.1671828113465</v>
      </c>
      <c r="BO126">
        <f t="shared" si="154"/>
        <v>0</v>
      </c>
      <c r="BP126">
        <f t="shared" si="155"/>
        <v>0</v>
      </c>
    </row>
    <row r="127" spans="14:68">
      <c r="N127" s="7">
        <v>9</v>
      </c>
      <c r="O127" s="18">
        <f t="shared" si="158"/>
        <v>123.026877081238</v>
      </c>
      <c r="P127" s="86" t="str">
        <f t="shared" si="105"/>
        <v>15</v>
      </c>
      <c r="Q127" s="4" t="str">
        <f t="shared" si="106"/>
        <v>1+0,225458527718966i</v>
      </c>
      <c r="R127" s="4">
        <f t="shared" si="118"/>
        <v>1.02510075003446</v>
      </c>
      <c r="S127" s="4">
        <f t="shared" si="119"/>
        <v>0.22175083275161</v>
      </c>
      <c r="T127" s="4" t="str">
        <f t="shared" si="107"/>
        <v>1+0,000154600133293005i</v>
      </c>
      <c r="U127" s="4">
        <f t="shared" si="120"/>
        <v>1.0000000119506</v>
      </c>
      <c r="V127" s="4">
        <f t="shared" si="121"/>
        <v>0.000154600132061295</v>
      </c>
      <c r="W127" t="str">
        <f t="shared" si="108"/>
        <v>1-0,0135275116631379i</v>
      </c>
      <c r="X127" s="4">
        <f t="shared" si="122"/>
        <v>1.00009149260045</v>
      </c>
      <c r="Y127" s="4">
        <f t="shared" si="123"/>
        <v>-0.0135266866044987</v>
      </c>
      <c r="Z127" t="str">
        <f t="shared" si="109"/>
        <v>0,999999892368978+0,000717786333146093i</v>
      </c>
      <c r="AA127" s="4">
        <f t="shared" si="124"/>
        <v>1.00000014997758</v>
      </c>
      <c r="AB127" s="4">
        <f t="shared" si="125"/>
        <v>0.000717786287130216</v>
      </c>
      <c r="AC127" s="67" t="str">
        <f t="shared" si="126"/>
        <v>14,2289487784769-3,41939824805729i</v>
      </c>
      <c r="AD127" s="68">
        <f t="shared" si="127"/>
        <v>23.3072876149375</v>
      </c>
      <c r="AE127" s="31">
        <f t="shared" si="128"/>
        <v>-13.5126770631783</v>
      </c>
      <c r="AF127" s="32" t="str">
        <f t="shared" si="129"/>
        <v>75,4669735059805</v>
      </c>
      <c r="AG127" s="32" t="str">
        <f t="shared" si="110"/>
        <v>1+0,144937624962192i</v>
      </c>
      <c r="AH127" s="32">
        <f t="shared" si="130"/>
        <v>1.01044886814211</v>
      </c>
      <c r="AI127" s="32">
        <f t="shared" si="131"/>
        <v>0.143935330560035</v>
      </c>
      <c r="AJ127" s="32" t="str">
        <f t="shared" si="111"/>
        <v>1+0,000154600133293005i</v>
      </c>
      <c r="AK127" s="32">
        <f t="shared" si="132"/>
        <v>1.0000000119506</v>
      </c>
      <c r="AL127" s="32">
        <f t="shared" si="133"/>
        <v>0.000154600132061295</v>
      </c>
      <c r="AM127" s="32" t="str">
        <f t="shared" si="112"/>
        <v>1-0,00172848203686844i</v>
      </c>
      <c r="AN127" s="32">
        <f t="shared" si="134"/>
        <v>1.00000149382396</v>
      </c>
      <c r="AO127" s="32">
        <f t="shared" si="135"/>
        <v>-0.00172848031550499</v>
      </c>
      <c r="AP127" s="30" t="str">
        <f t="shared" si="136"/>
        <v>73,8974216805828-10,8292928931319i</v>
      </c>
      <c r="AQ127" s="32">
        <f t="shared" si="137"/>
        <v>37.4648649156352</v>
      </c>
      <c r="AR127" s="31">
        <f t="shared" si="138"/>
        <v>-8.33706365588094</v>
      </c>
      <c r="AS127" t="str">
        <f t="shared" si="113"/>
        <v>-0,000338461538461538</v>
      </c>
      <c r="AT127" t="str">
        <f t="shared" si="114"/>
        <v>0,000135316858667368i</v>
      </c>
      <c r="AU127">
        <f t="shared" si="139"/>
        <v>0.000135316858667368</v>
      </c>
      <c r="AV127">
        <f t="shared" si="140"/>
        <v>1.5707963267949</v>
      </c>
      <c r="AW127" t="str">
        <f t="shared" si="115"/>
        <v>1+0,0219614252207423i</v>
      </c>
      <c r="AX127">
        <f t="shared" si="141"/>
        <v>1.00024112302871</v>
      </c>
      <c r="AY127">
        <f t="shared" si="142"/>
        <v>0.0219578955462548</v>
      </c>
      <c r="AZ127" t="str">
        <f t="shared" si="116"/>
        <v>1+0,191704165283326i</v>
      </c>
      <c r="BA127">
        <f t="shared" si="143"/>
        <v>1.01820945143275</v>
      </c>
      <c r="BB127">
        <f t="shared" si="144"/>
        <v>0.189406219601154</v>
      </c>
      <c r="BC127" s="30" t="str">
        <f t="shared" si="145"/>
        <v>-0,424364663955952+2,51057146871828i</v>
      </c>
      <c r="BD127" s="32">
        <f t="shared" si="146"/>
        <v>8.11779670355017</v>
      </c>
      <c r="BE127" s="31">
        <f t="shared" si="147"/>
        <v>99.5940822548846</v>
      </c>
      <c r="BF127" s="30" t="str">
        <f t="shared" si="148"/>
        <v>2,5463806149331+37,1738646215663i</v>
      </c>
      <c r="BG127" s="68">
        <f t="shared" si="149"/>
        <v>31.4250843184877</v>
      </c>
      <c r="BH127" s="31">
        <f t="shared" si="150"/>
        <v>86.0814051917064</v>
      </c>
      <c r="BI127" s="30" t="str">
        <f t="shared" si="156"/>
        <v>-4,17174075480122+190,120327722589i</v>
      </c>
      <c r="BJ127" s="68">
        <f t="shared" si="151"/>
        <v>45.5826616191854</v>
      </c>
      <c r="BK127" s="31">
        <f t="shared" si="157"/>
        <v>91.2570185990037</v>
      </c>
      <c r="BL127" s="32">
        <f t="shared" si="152"/>
        <v>31.4250843184877</v>
      </c>
      <c r="BM127" s="31">
        <f t="shared" si="153"/>
        <v>86.0814051917064</v>
      </c>
      <c r="BO127">
        <f t="shared" si="154"/>
        <v>0</v>
      </c>
      <c r="BP127">
        <f t="shared" si="155"/>
        <v>0</v>
      </c>
    </row>
    <row r="128" spans="14:68">
      <c r="N128" s="7">
        <v>10</v>
      </c>
      <c r="O128" s="18">
        <f t="shared" si="158"/>
        <v>125.892541179417</v>
      </c>
      <c r="P128" s="86" t="str">
        <f t="shared" si="105"/>
        <v>15</v>
      </c>
      <c r="Q128" s="4" t="str">
        <f t="shared" si="106"/>
        <v>1+0,230710131464753i</v>
      </c>
      <c r="R128" s="4">
        <f t="shared" si="118"/>
        <v>1.02626856366181</v>
      </c>
      <c r="S128" s="4">
        <f t="shared" si="119"/>
        <v>0.22674273618997</v>
      </c>
      <c r="T128" s="4" t="str">
        <f t="shared" si="107"/>
        <v>1+0,000158201233004402i</v>
      </c>
      <c r="U128" s="4">
        <f t="shared" si="120"/>
        <v>1.00000001251382</v>
      </c>
      <c r="V128" s="4">
        <f t="shared" si="121"/>
        <v>0.000158201231684601</v>
      </c>
      <c r="W128" t="str">
        <f t="shared" si="108"/>
        <v>1-0,0138426078878852i</v>
      </c>
      <c r="X128" s="4">
        <f t="shared" si="122"/>
        <v>1.00009580430734</v>
      </c>
      <c r="Y128" s="4">
        <f t="shared" si="123"/>
        <v>-0.0138417238261992</v>
      </c>
      <c r="Z128" t="str">
        <f t="shared" si="109"/>
        <v>0,999999887296484+0,000734505724663295i</v>
      </c>
      <c r="AA128" s="4">
        <f t="shared" si="124"/>
        <v>1.00000015704581</v>
      </c>
      <c r="AB128" s="4">
        <f t="shared" si="125"/>
        <v>0.000734505675356395</v>
      </c>
      <c r="AC128" s="67" t="str">
        <f t="shared" si="126"/>
        <v>14,1944467023224-3,4910862835159i</v>
      </c>
      <c r="AD128" s="68">
        <f t="shared" si="127"/>
        <v>23.2974355127959</v>
      </c>
      <c r="AE128" s="31">
        <f t="shared" si="128"/>
        <v>-13.8174939876974</v>
      </c>
      <c r="AF128" s="32" t="str">
        <f t="shared" si="129"/>
        <v>75,4669735059805</v>
      </c>
      <c r="AG128" s="32" t="str">
        <f t="shared" si="110"/>
        <v>1+0,148313655941627i</v>
      </c>
      <c r="AH128" s="32">
        <f t="shared" si="130"/>
        <v>1.01093864331065</v>
      </c>
      <c r="AI128" s="32">
        <f t="shared" si="131"/>
        <v>0.147240304765009</v>
      </c>
      <c r="AJ128" s="32" t="str">
        <f t="shared" si="111"/>
        <v>1+0,000158201233004402i</v>
      </c>
      <c r="AK128" s="32">
        <f t="shared" si="132"/>
        <v>1.00000001251382</v>
      </c>
      <c r="AL128" s="32">
        <f t="shared" si="133"/>
        <v>0.000158201231684601</v>
      </c>
      <c r="AM128" s="32" t="str">
        <f t="shared" si="112"/>
        <v>1-0,00176874355561064i</v>
      </c>
      <c r="AN128" s="32">
        <f t="shared" si="134"/>
        <v>1.00000156422566</v>
      </c>
      <c r="AO128" s="32">
        <f t="shared" si="135"/>
        <v>-0.00176874171113662</v>
      </c>
      <c r="AP128" s="30" t="str">
        <f t="shared" si="136"/>
        <v>73,825043089525-11,070804795446i</v>
      </c>
      <c r="AQ128" s="32">
        <f t="shared" si="137"/>
        <v>37.4606564102037</v>
      </c>
      <c r="AR128" s="31">
        <f t="shared" si="138"/>
        <v>-8.52852520946258</v>
      </c>
      <c r="AS128" t="str">
        <f t="shared" si="113"/>
        <v>-0,000338461538461538</v>
      </c>
      <c r="AT128" t="str">
        <f t="shared" si="114"/>
        <v>0,000138468793211763i</v>
      </c>
      <c r="AU128">
        <f t="shared" si="139"/>
        <v>0.000138468793211763</v>
      </c>
      <c r="AV128">
        <f t="shared" si="140"/>
        <v>1.5707963267949</v>
      </c>
      <c r="AW128" t="str">
        <f t="shared" si="115"/>
        <v>1+0,0224729725288834i</v>
      </c>
      <c r="AX128">
        <f t="shared" si="141"/>
        <v>1.00025248537271</v>
      </c>
      <c r="AY128">
        <f t="shared" si="142"/>
        <v>0.0224691904660885</v>
      </c>
      <c r="AZ128" t="str">
        <f t="shared" si="116"/>
        <v>1+0,196169528925459i</v>
      </c>
      <c r="BA128">
        <f t="shared" si="143"/>
        <v>1.01905960771627</v>
      </c>
      <c r="BB128">
        <f t="shared" si="144"/>
        <v>0.193709716165426</v>
      </c>
      <c r="BC128" s="30" t="str">
        <f t="shared" si="145"/>
        <v>-0,424355022890361+2,45385289223753i</v>
      </c>
      <c r="BD128" s="32">
        <f t="shared" si="146"/>
        <v>7.92494731304751</v>
      </c>
      <c r="BE128" s="31">
        <f t="shared" si="147"/>
        <v>99.8113594041735</v>
      </c>
      <c r="BF128" s="30" t="str">
        <f t="shared" si="148"/>
        <v>2,54312741857623+36,3125440939589i</v>
      </c>
      <c r="BG128" s="68">
        <f t="shared" si="149"/>
        <v>31.2223828258434</v>
      </c>
      <c r="BH128" s="31">
        <f t="shared" si="150"/>
        <v>85.9938654164761</v>
      </c>
      <c r="BI128" s="30" t="str">
        <f t="shared" si="156"/>
        <v>-4,16190148343498+185,853747127177i</v>
      </c>
      <c r="BJ128" s="68">
        <f t="shared" si="151"/>
        <v>45.3856037232512</v>
      </c>
      <c r="BK128" s="31">
        <f t="shared" si="157"/>
        <v>91.282834194711</v>
      </c>
      <c r="BL128" s="32">
        <f t="shared" si="152"/>
        <v>31.2223828258434</v>
      </c>
      <c r="BM128" s="31">
        <f t="shared" si="153"/>
        <v>85.9938654164761</v>
      </c>
      <c r="BO128">
        <f t="shared" si="154"/>
        <v>0</v>
      </c>
      <c r="BP128">
        <f t="shared" si="155"/>
        <v>0</v>
      </c>
    </row>
    <row r="129" spans="14:68">
      <c r="N129" s="7">
        <v>11</v>
      </c>
      <c r="O129" s="18">
        <f t="shared" si="158"/>
        <v>128.824955169313</v>
      </c>
      <c r="P129" s="86" t="str">
        <f t="shared" si="105"/>
        <v>15</v>
      </c>
      <c r="Q129" s="4" t="str">
        <f t="shared" si="106"/>
        <v>1+0,236084060776054i</v>
      </c>
      <c r="R129" s="4">
        <f t="shared" si="118"/>
        <v>1.02748999204494</v>
      </c>
      <c r="S129" s="4">
        <f t="shared" si="119"/>
        <v>0.231839038743552</v>
      </c>
      <c r="T129" s="4" t="str">
        <f t="shared" si="107"/>
        <v>1+0,00016188621310358i</v>
      </c>
      <c r="U129" s="4">
        <f t="shared" si="120"/>
        <v>1.00000001310357</v>
      </c>
      <c r="V129" s="4">
        <f t="shared" si="121"/>
        <v>0.000161886211689388</v>
      </c>
      <c r="W129" t="str">
        <f t="shared" si="108"/>
        <v>1-0,0141650436465632i</v>
      </c>
      <c r="X129" s="4">
        <f t="shared" si="122"/>
        <v>1.00010031919878</v>
      </c>
      <c r="Y129" s="4">
        <f t="shared" si="123"/>
        <v>-0.0141640963625316</v>
      </c>
      <c r="Z129" t="str">
        <f t="shared" si="109"/>
        <v>0,999999881984931+0,000751614560838047i</v>
      </c>
      <c r="AA129" s="4">
        <f t="shared" si="124"/>
        <v>1.00000016444715</v>
      </c>
      <c r="AB129" s="4">
        <f t="shared" si="125"/>
        <v>0.000751614508004753</v>
      </c>
      <c r="AC129" s="67" t="str">
        <f t="shared" si="126"/>
        <v>14,1584864168858-3,56391447592852i</v>
      </c>
      <c r="AD129" s="68">
        <f t="shared" si="127"/>
        <v>23.2871431752482</v>
      </c>
      <c r="AE129" s="31">
        <f t="shared" si="128"/>
        <v>-14.1287303310035</v>
      </c>
      <c r="AF129" s="32" t="str">
        <f t="shared" si="129"/>
        <v>75,4669735059805</v>
      </c>
      <c r="AG129" s="32" t="str">
        <f t="shared" si="110"/>
        <v>1+0,151768324784606i</v>
      </c>
      <c r="AH129" s="32">
        <f t="shared" si="130"/>
        <v>1.01145124667871</v>
      </c>
      <c r="AI129" s="32">
        <f t="shared" si="131"/>
        <v>0.150618910364927</v>
      </c>
      <c r="AJ129" s="32" t="str">
        <f t="shared" si="111"/>
        <v>1+0,00016188621310358i</v>
      </c>
      <c r="AK129" s="32">
        <f t="shared" si="132"/>
        <v>1.00000001310357</v>
      </c>
      <c r="AL129" s="32">
        <f t="shared" si="133"/>
        <v>0.000161886211689388</v>
      </c>
      <c r="AM129" s="32" t="str">
        <f t="shared" si="112"/>
        <v>1-0,00180994288559811i</v>
      </c>
      <c r="AN129" s="32">
        <f t="shared" si="134"/>
        <v>1.00000163794528</v>
      </c>
      <c r="AO129" s="32">
        <f t="shared" si="135"/>
        <v>-0.00180994090920877</v>
      </c>
      <c r="AP129" s="30" t="str">
        <f t="shared" si="136"/>
        <v>73,7494035458366-11,317197279255i</v>
      </c>
      <c r="AQ129" s="32">
        <f t="shared" si="137"/>
        <v>37.4562539319944</v>
      </c>
      <c r="AR129" s="31">
        <f t="shared" si="138"/>
        <v>-8.72425445734413</v>
      </c>
      <c r="AS129" t="str">
        <f t="shared" si="113"/>
        <v>-0,000338461538461538</v>
      </c>
      <c r="AT129" t="str">
        <f t="shared" si="114"/>
        <v>0,00014169414574317i</v>
      </c>
      <c r="AU129">
        <f t="shared" si="139"/>
        <v>0.00014169414574317</v>
      </c>
      <c r="AV129">
        <f t="shared" si="140"/>
        <v>1.5707963267949</v>
      </c>
      <c r="AW129" t="str">
        <f t="shared" si="115"/>
        <v>1+0,0229964353045243i</v>
      </c>
      <c r="AX129">
        <f t="shared" si="141"/>
        <v>1.00026438306915</v>
      </c>
      <c r="AY129">
        <f t="shared" si="142"/>
        <v>0.022992382809075</v>
      </c>
      <c r="AZ129" t="str">
        <f t="shared" si="116"/>
        <v>1+0,200738904248439i</v>
      </c>
      <c r="BA129">
        <f t="shared" si="143"/>
        <v>1.01994907112015</v>
      </c>
      <c r="BB129">
        <f t="shared" si="144"/>
        <v>0.19810594364125</v>
      </c>
      <c r="BC129" s="30" t="str">
        <f t="shared" si="145"/>
        <v>-0,424344927924862+2,39843536062416i</v>
      </c>
      <c r="BD129" s="32">
        <f t="shared" si="146"/>
        <v>7.7324219756678</v>
      </c>
      <c r="BE129" s="31">
        <f t="shared" si="147"/>
        <v>100.033267971191</v>
      </c>
      <c r="BF129" s="30" t="str">
        <f t="shared" si="148"/>
        <v>2,53973660320874+35,470543506594i</v>
      </c>
      <c r="BG129" s="68">
        <f t="shared" si="149"/>
        <v>31.019565150916</v>
      </c>
      <c r="BH129" s="31">
        <f t="shared" si="150"/>
        <v>85.9045376401875</v>
      </c>
      <c r="BI129" s="30" t="str">
        <f t="shared" si="156"/>
        <v>-4,15161919443487+181,685572553052i</v>
      </c>
      <c r="BJ129" s="68">
        <f t="shared" si="151"/>
        <v>45.1886759076622</v>
      </c>
      <c r="BK129" s="31">
        <f t="shared" si="157"/>
        <v>91.3090135138469</v>
      </c>
      <c r="BL129" s="32">
        <f t="shared" si="152"/>
        <v>31.019565150916</v>
      </c>
      <c r="BM129" s="31">
        <f t="shared" si="153"/>
        <v>85.9045376401875</v>
      </c>
      <c r="BO129">
        <f t="shared" si="154"/>
        <v>0</v>
      </c>
      <c r="BP129">
        <f t="shared" si="155"/>
        <v>0</v>
      </c>
    </row>
    <row r="130" spans="14:68">
      <c r="N130" s="7">
        <v>12</v>
      </c>
      <c r="O130" s="18">
        <f t="shared" si="158"/>
        <v>131.825673855641</v>
      </c>
      <c r="P130" s="86" t="str">
        <f t="shared" si="105"/>
        <v>15</v>
      </c>
      <c r="Q130" s="4" t="str">
        <f t="shared" si="106"/>
        <v>1+0,24158316498132i</v>
      </c>
      <c r="R130" s="4">
        <f t="shared" si="118"/>
        <v>1.02876743027877</v>
      </c>
      <c r="S130" s="4">
        <f t="shared" si="119"/>
        <v>0.237041383167125</v>
      </c>
      <c r="T130" s="4" t="str">
        <f t="shared" si="107"/>
        <v>1+0,000165657027415762i</v>
      </c>
      <c r="U130" s="4">
        <f t="shared" si="120"/>
        <v>1.00000001372113</v>
      </c>
      <c r="V130" s="4">
        <f t="shared" si="121"/>
        <v>0.000165657025900428</v>
      </c>
      <c r="W130" t="str">
        <f t="shared" si="108"/>
        <v>1-0,0144949898988792i</v>
      </c>
      <c r="X130" s="4">
        <f t="shared" si="122"/>
        <v>1.00010504684866</v>
      </c>
      <c r="Y130" s="4">
        <f t="shared" si="123"/>
        <v>-0.0144939748715099</v>
      </c>
      <c r="Z130" t="str">
        <f t="shared" si="109"/>
        <v>0,999999876423052+0,000769121913001751i</v>
      </c>
      <c r="AA130" s="4">
        <f t="shared" si="124"/>
        <v>1.0000001721973</v>
      </c>
      <c r="AB130" s="4">
        <f t="shared" si="125"/>
        <v>0.000769121856389857</v>
      </c>
      <c r="AC130" s="67" t="str">
        <f t="shared" si="126"/>
        <v>14,1210140808124-3,63787601929861i</v>
      </c>
      <c r="AD130" s="68">
        <f t="shared" si="127"/>
        <v>23.2763920524188</v>
      </c>
      <c r="AE130" s="31">
        <f t="shared" si="128"/>
        <v>-14.4464904017975</v>
      </c>
      <c r="AF130" s="32" t="str">
        <f t="shared" si="129"/>
        <v>75,4669735059805</v>
      </c>
      <c r="AG130" s="32" t="str">
        <f t="shared" si="110"/>
        <v>1+0,155303463202277i</v>
      </c>
      <c r="AH130" s="32">
        <f t="shared" si="130"/>
        <v>1.01198773000596</v>
      </c>
      <c r="AI130" s="32">
        <f t="shared" si="131"/>
        <v>0.154072630047961</v>
      </c>
      <c r="AJ130" s="32" t="str">
        <f t="shared" si="111"/>
        <v>1+0,000165657027415762i</v>
      </c>
      <c r="AK130" s="32">
        <f t="shared" si="132"/>
        <v>1.00000001372113</v>
      </c>
      <c r="AL130" s="32">
        <f t="shared" si="133"/>
        <v>0.000165657025900428</v>
      </c>
      <c r="AM130" s="32" t="str">
        <f t="shared" si="112"/>
        <v>1-0,00185210187126095i</v>
      </c>
      <c r="AN130" s="32">
        <f t="shared" si="134"/>
        <v>1.0000017151392</v>
      </c>
      <c r="AO130" s="32">
        <f t="shared" si="135"/>
        <v>-0.00185209975352181</v>
      </c>
      <c r="AP130" s="30" t="str">
        <f t="shared" si="136"/>
        <v>73,6703633509941-11,5685334521293i</v>
      </c>
      <c r="AQ130" s="32">
        <f t="shared" si="137"/>
        <v>37.4516487510578</v>
      </c>
      <c r="AR130" s="31">
        <f t="shared" si="138"/>
        <v>-8.92433749091195</v>
      </c>
      <c r="AS130" t="str">
        <f t="shared" si="113"/>
        <v>-0,000338461538461538</v>
      </c>
      <c r="AT130" t="str">
        <f t="shared" si="114"/>
        <v>0,000144994626386194i</v>
      </c>
      <c r="AU130">
        <f t="shared" si="139"/>
        <v>0.000144994626386194</v>
      </c>
      <c r="AV130">
        <f t="shared" si="140"/>
        <v>1.5707963267949</v>
      </c>
      <c r="AW130" t="str">
        <f t="shared" si="115"/>
        <v>1+0,0235320910945574i</v>
      </c>
      <c r="AX130">
        <f t="shared" si="141"/>
        <v>1.00027684133508</v>
      </c>
      <c r="AY130">
        <f t="shared" si="142"/>
        <v>0.0235277488323545</v>
      </c>
      <c r="AZ130" t="str">
        <f t="shared" si="116"/>
        <v>1+0,205414713995545i</v>
      </c>
      <c r="BA130">
        <f t="shared" si="143"/>
        <v>1.02087962303392</v>
      </c>
      <c r="BB130">
        <f t="shared" si="144"/>
        <v>0.202596552921224</v>
      </c>
      <c r="BC130" s="30" t="str">
        <f t="shared" si="145"/>
        <v>-0,424334357713064+2,34428948931072i</v>
      </c>
      <c r="BD130" s="32">
        <f t="shared" si="146"/>
        <v>7.5402347641679</v>
      </c>
      <c r="BE130" s="31">
        <f t="shared" si="147"/>
        <v>100.259886716747</v>
      </c>
      <c r="BF130" s="30" t="str">
        <f t="shared" si="148"/>
        <v>2,53620307521859+34,647420672146i</v>
      </c>
      <c r="BG130" s="68">
        <f t="shared" si="149"/>
        <v>30.8166268165867</v>
      </c>
      <c r="BH130" s="31">
        <f t="shared" si="150"/>
        <v>85.8133963149498</v>
      </c>
      <c r="BI130" s="30" t="str">
        <f t="shared" si="156"/>
        <v>-4,14087493646596+177,613584689528i</v>
      </c>
      <c r="BJ130" s="68">
        <f t="shared" si="151"/>
        <v>44.9918835152257</v>
      </c>
      <c r="BK130" s="31">
        <f t="shared" si="157"/>
        <v>91.3355492258353</v>
      </c>
      <c r="BL130" s="32">
        <f t="shared" si="152"/>
        <v>30.8166268165867</v>
      </c>
      <c r="BM130" s="31">
        <f t="shared" si="153"/>
        <v>85.8133963149498</v>
      </c>
      <c r="BO130">
        <f t="shared" si="154"/>
        <v>0</v>
      </c>
      <c r="BP130">
        <f t="shared" si="155"/>
        <v>0</v>
      </c>
    </row>
    <row r="131" spans="14:68">
      <c r="N131" s="7">
        <v>13</v>
      </c>
      <c r="O131" s="18">
        <f t="shared" si="158"/>
        <v>134.896288259165</v>
      </c>
      <c r="P131" s="86" t="str">
        <f t="shared" si="105"/>
        <v>15</v>
      </c>
      <c r="Q131" s="4" t="str">
        <f t="shared" si="106"/>
        <v>1+0,247210359778389i</v>
      </c>
      <c r="R131" s="4">
        <f t="shared" si="118"/>
        <v>1.03010337441529</v>
      </c>
      <c r="S131" s="4">
        <f t="shared" si="119"/>
        <v>0.242351400931873</v>
      </c>
      <c r="T131" s="4" t="str">
        <f t="shared" si="107"/>
        <v>1+0,00016951567527661i</v>
      </c>
      <c r="U131" s="4">
        <f t="shared" si="120"/>
        <v>1.00000001436778</v>
      </c>
      <c r="V131" s="4">
        <f t="shared" si="121"/>
        <v>0.000169515673652901</v>
      </c>
      <c r="W131" t="str">
        <f t="shared" si="108"/>
        <v>1-0,0148326215867034i</v>
      </c>
      <c r="X131" s="4">
        <f t="shared" si="122"/>
        <v>1.00010999728187</v>
      </c>
      <c r="Y131" s="4">
        <f t="shared" si="123"/>
        <v>-0.0148315339717424</v>
      </c>
      <c r="Z131" t="str">
        <f t="shared" si="109"/>
        <v>0,99999987059905+0,000787037063784258i</v>
      </c>
      <c r="AA131" s="4">
        <f t="shared" si="124"/>
        <v>1.00000018031271</v>
      </c>
      <c r="AB131" s="4">
        <f t="shared" si="125"/>
        <v>0.000787037003123521</v>
      </c>
      <c r="AC131" s="67" t="str">
        <f t="shared" si="126"/>
        <v>14,081974571642-3,71296206252036i</v>
      </c>
      <c r="AD131" s="68">
        <f t="shared" si="127"/>
        <v>23.26516291471</v>
      </c>
      <c r="AE131" s="31">
        <f t="shared" si="128"/>
        <v>-14.770878098703</v>
      </c>
      <c r="AF131" s="32" t="str">
        <f t="shared" si="129"/>
        <v>75,4669735059805</v>
      </c>
      <c r="AG131" s="32" t="str">
        <f t="shared" si="110"/>
        <v>1+0,158920945571822i</v>
      </c>
      <c r="AH131" s="32">
        <f t="shared" si="130"/>
        <v>1.01254919235632</v>
      </c>
      <c r="AI131" s="32">
        <f t="shared" si="131"/>
        <v>0.157602965279624</v>
      </c>
      <c r="AJ131" s="32" t="str">
        <f t="shared" si="111"/>
        <v>1+0,00016951567527661i</v>
      </c>
      <c r="AK131" s="32">
        <f t="shared" si="132"/>
        <v>1.00000001436778</v>
      </c>
      <c r="AL131" s="32">
        <f t="shared" si="133"/>
        <v>0.000169515673652901</v>
      </c>
      <c r="AM131" s="32" t="str">
        <f t="shared" si="112"/>
        <v>1-0,0018952428658514i</v>
      </c>
      <c r="AN131" s="32">
        <f t="shared" si="134"/>
        <v>1.00000179597115</v>
      </c>
      <c r="AO131" s="32">
        <f t="shared" si="135"/>
        <v>-0.00189524059665325</v>
      </c>
      <c r="AP131" s="30" t="str">
        <f t="shared" si="136"/>
        <v>73,5877775002341-11,8248745910357i</v>
      </c>
      <c r="AQ131" s="32">
        <f t="shared" si="137"/>
        <v>37.4468317643318</v>
      </c>
      <c r="AR131" s="31">
        <f t="shared" si="138"/>
        <v>-9.12886150395778</v>
      </c>
      <c r="AS131" t="str">
        <f t="shared" si="113"/>
        <v>-0,000338461538461538</v>
      </c>
      <c r="AT131" t="str">
        <f t="shared" si="114"/>
        <v>0,000148371985099358i</v>
      </c>
      <c r="AU131">
        <f t="shared" si="139"/>
        <v>0.000148371985099358</v>
      </c>
      <c r="AV131">
        <f t="shared" si="140"/>
        <v>1.5707963267949</v>
      </c>
      <c r="AW131" t="str">
        <f t="shared" si="115"/>
        <v>1+0,0240802239107729i</v>
      </c>
      <c r="AX131">
        <f t="shared" si="141"/>
        <v>1.00028988657468</v>
      </c>
      <c r="AY131">
        <f t="shared" si="142"/>
        <v>0.0240755711658165</v>
      </c>
      <c r="AZ131" t="str">
        <f t="shared" si="116"/>
        <v>1+0,210199437342996i</v>
      </c>
      <c r="BA131">
        <f t="shared" si="143"/>
        <v>1.02185312225354</v>
      </c>
      <c r="BB131">
        <f t="shared" si="144"/>
        <v>0.207183200197111</v>
      </c>
      <c r="BC131" s="30" t="str">
        <f t="shared" si="145"/>
        <v>-0,424323289906925+2,29138656787681i</v>
      </c>
      <c r="BD131" s="32">
        <f t="shared" si="146"/>
        <v>7.34840030584596</v>
      </c>
      <c r="BE131" s="31">
        <f t="shared" si="147"/>
        <v>100.49129434014</v>
      </c>
      <c r="BF131" s="30" t="str">
        <f t="shared" si="148"/>
        <v>2,53252161847054+33,8427436603115i</v>
      </c>
      <c r="BG131" s="68">
        <f t="shared" si="149"/>
        <v>30.6135632205559</v>
      </c>
      <c r="BH131" s="31">
        <f t="shared" si="150"/>
        <v>85.7204162414373</v>
      </c>
      <c r="BI131" s="30" t="str">
        <f t="shared" si="156"/>
        <v>-4,12964904111114+173,635614613149i</v>
      </c>
      <c r="BJ131" s="68">
        <f t="shared" si="151"/>
        <v>44.7952320701777</v>
      </c>
      <c r="BK131" s="31">
        <f t="shared" si="157"/>
        <v>91.3624328361825</v>
      </c>
      <c r="BL131" s="32">
        <f t="shared" si="152"/>
        <v>30.6135632205559</v>
      </c>
      <c r="BM131" s="31">
        <f t="shared" si="153"/>
        <v>85.7204162414373</v>
      </c>
      <c r="BO131">
        <f t="shared" si="154"/>
        <v>0</v>
      </c>
      <c r="BP131">
        <f t="shared" si="155"/>
        <v>0</v>
      </c>
    </row>
    <row r="132" spans="14:68">
      <c r="N132" s="7">
        <v>14</v>
      </c>
      <c r="O132" s="18">
        <f t="shared" si="158"/>
        <v>138.038426460289</v>
      </c>
      <c r="P132" s="86" t="str">
        <f t="shared" si="105"/>
        <v>15</v>
      </c>
      <c r="Q132" s="4" t="str">
        <f t="shared" si="106"/>
        <v>1+0,25296862878043i</v>
      </c>
      <c r="R132" s="4">
        <f t="shared" si="118"/>
        <v>1.03150042518026</v>
      </c>
      <c r="S132" s="4">
        <f t="shared" si="119"/>
        <v>0.247770709178024</v>
      </c>
      <c r="T132" s="4" t="str">
        <f t="shared" si="107"/>
        <v>1+0,000173464202592295i</v>
      </c>
      <c r="U132" s="4">
        <f t="shared" si="120"/>
        <v>1.00000001504491</v>
      </c>
      <c r="V132" s="4">
        <f t="shared" si="121"/>
        <v>0.000173464200852459</v>
      </c>
      <c r="W132" t="str">
        <f t="shared" si="108"/>
        <v>1-0,0151781177268258i</v>
      </c>
      <c r="X132" s="4">
        <f t="shared" si="122"/>
        <v>1.00011518099553</v>
      </c>
      <c r="Y132" s="4">
        <f t="shared" si="123"/>
        <v>-0.0151769523336472</v>
      </c>
      <c r="Z132" t="str">
        <f t="shared" si="109"/>
        <v>0,999999864500571+0,000805369512035653i</v>
      </c>
      <c r="AA132" s="4">
        <f t="shared" si="124"/>
        <v>1.00000018881059</v>
      </c>
      <c r="AB132" s="4">
        <f t="shared" si="125"/>
        <v>0.000805369447036503</v>
      </c>
      <c r="AC132" s="67" t="str">
        <f t="shared" si="126"/>
        <v>14,0413115227918-3,78916157950012i</v>
      </c>
      <c r="AD132" s="68">
        <f t="shared" si="127"/>
        <v>23.2534358371356</v>
      </c>
      <c r="AE132" s="31">
        <f t="shared" si="128"/>
        <v>-15.1019967411119</v>
      </c>
      <c r="AF132" s="32" t="str">
        <f t="shared" si="129"/>
        <v>75,4669735059805</v>
      </c>
      <c r="AG132" s="32" t="str">
        <f t="shared" si="110"/>
        <v>1+0,162622689930277i</v>
      </c>
      <c r="AH132" s="32">
        <f t="shared" si="130"/>
        <v>1.01313678211787</v>
      </c>
      <c r="AI132" s="32">
        <f t="shared" si="131"/>
        <v>0.161211435714038</v>
      </c>
      <c r="AJ132" s="32" t="str">
        <f t="shared" si="111"/>
        <v>1+0,000173464202592295i</v>
      </c>
      <c r="AK132" s="32">
        <f t="shared" si="132"/>
        <v>1.00000001504491</v>
      </c>
      <c r="AL132" s="32">
        <f t="shared" si="133"/>
        <v>0.000173464200852459</v>
      </c>
      <c r="AM132" s="32" t="str">
        <f t="shared" si="112"/>
        <v>1-0,00193938874329583i</v>
      </c>
      <c r="AN132" s="32">
        <f t="shared" si="134"/>
        <v>1.00000188061258</v>
      </c>
      <c r="AO132" s="32">
        <f t="shared" si="135"/>
        <v>-0.00193938631180645</v>
      </c>
      <c r="AP132" s="30" t="str">
        <f t="shared" si="136"/>
        <v>73,5014955455706-12,0862799000458i</v>
      </c>
      <c r="AQ132" s="32">
        <f t="shared" si="137"/>
        <v>37.4417934815526</v>
      </c>
      <c r="AR132" s="31">
        <f t="shared" si="138"/>
        <v>-9.33791475956547</v>
      </c>
      <c r="AS132" t="str">
        <f t="shared" si="113"/>
        <v>-0,000338461538461538</v>
      </c>
      <c r="AT132" t="str">
        <f t="shared" si="114"/>
        <v>0,000151828012602958i</v>
      </c>
      <c r="AU132">
        <f t="shared" si="139"/>
        <v>0.000151828012602958</v>
      </c>
      <c r="AV132">
        <f t="shared" si="140"/>
        <v>1.5707963267949</v>
      </c>
      <c r="AW132" t="str">
        <f t="shared" si="115"/>
        <v>1+0,0246411243804454i</v>
      </c>
      <c r="AX132">
        <f t="shared" si="141"/>
        <v>1.00030354643515</v>
      </c>
      <c r="AY132">
        <f t="shared" si="142"/>
        <v>0.0246361389561072</v>
      </c>
      <c r="AZ132" t="str">
        <f t="shared" si="116"/>
        <v>1+0,215095611214446i</v>
      </c>
      <c r="BA132">
        <f t="shared" si="143"/>
        <v>1.0228715080418</v>
      </c>
      <c r="BB132">
        <f t="shared" si="144"/>
        <v>0.211867545081181</v>
      </c>
      <c r="BC132" s="30" t="str">
        <f t="shared" si="145"/>
        <v>-0,424311701109952+2,2396985448189i</v>
      </c>
      <c r="BD132" s="32">
        <f t="shared" si="146"/>
        <v>7.15693379917219</v>
      </c>
      <c r="BE132" s="31">
        <f t="shared" si="147"/>
        <v>100.727569363267</v>
      </c>
      <c r="BF132" s="30" t="str">
        <f t="shared" si="148"/>
        <v>2,52868689763955+33,0560905805238i</v>
      </c>
      <c r="BG132" s="68">
        <f t="shared" si="149"/>
        <v>30.4103696363078</v>
      </c>
      <c r="BH132" s="31">
        <f t="shared" si="150"/>
        <v>85.6255726221547</v>
      </c>
      <c r="BI132" s="30" t="str">
        <f t="shared" si="156"/>
        <v>-4,11792110466012+169,749542599907i</v>
      </c>
      <c r="BJ132" s="68">
        <f t="shared" si="151"/>
        <v>44.5987272807248</v>
      </c>
      <c r="BK132" s="31">
        <f t="shared" si="157"/>
        <v>91.3896546037011</v>
      </c>
      <c r="BL132" s="32">
        <f t="shared" si="152"/>
        <v>30.4103696363078</v>
      </c>
      <c r="BM132" s="31">
        <f t="shared" si="153"/>
        <v>85.6255726221547</v>
      </c>
      <c r="BO132">
        <f t="shared" si="154"/>
        <v>0</v>
      </c>
      <c r="BP132">
        <f t="shared" si="155"/>
        <v>0</v>
      </c>
    </row>
    <row r="133" spans="14:68">
      <c r="N133" s="7">
        <v>15</v>
      </c>
      <c r="O133" s="18">
        <f t="shared" si="158"/>
        <v>141.253754462275</v>
      </c>
      <c r="P133" s="86" t="str">
        <f t="shared" si="105"/>
        <v>15</v>
      </c>
      <c r="Q133" s="4" t="str">
        <f t="shared" si="106"/>
        <v>1+0,258861025097885i</v>
      </c>
      <c r="R133" s="4">
        <f t="shared" si="118"/>
        <v>1.03296129177948</v>
      </c>
      <c r="S133" s="4">
        <f t="shared" si="119"/>
        <v>0.253300907477103</v>
      </c>
      <c r="T133" s="4" t="str">
        <f t="shared" si="107"/>
        <v>1+0,000177504702924264i</v>
      </c>
      <c r="U133" s="4">
        <f t="shared" si="120"/>
        <v>1.00000001575396</v>
      </c>
      <c r="V133" s="4">
        <f t="shared" si="121"/>
        <v>0.000177504701059996</v>
      </c>
      <c r="W133" t="str">
        <f t="shared" si="108"/>
        <v>1-0,0155316615058731i</v>
      </c>
      <c r="X133" s="4">
        <f t="shared" si="122"/>
        <v>1.0001206089813</v>
      </c>
      <c r="Y133" s="4">
        <f t="shared" si="123"/>
        <v>-0.0155304127727171</v>
      </c>
      <c r="Z133" t="str">
        <f t="shared" si="109"/>
        <v>0,99999985811468+0,000824128977862654i</v>
      </c>
      <c r="AA133" s="4">
        <f t="shared" si="124"/>
        <v>1.00000019770896</v>
      </c>
      <c r="AB133" s="4">
        <f t="shared" si="125"/>
        <v>0.00082412890821481</v>
      </c>
      <c r="AC133" s="67" t="str">
        <f t="shared" si="126"/>
        <v>13,9989673686412-3,86646123551594i</v>
      </c>
      <c r="AD133" s="68">
        <f t="shared" si="127"/>
        <v>23.2411901841773</v>
      </c>
      <c r="AE133" s="31">
        <f t="shared" si="128"/>
        <v>-15.4399488892454</v>
      </c>
      <c r="AF133" s="32" t="str">
        <f t="shared" si="129"/>
        <v>75,4669735059805</v>
      </c>
      <c r="AG133" s="32" t="str">
        <f t="shared" si="110"/>
        <v>1+0,166410658991498i</v>
      </c>
      <c r="AH133" s="32">
        <f t="shared" si="130"/>
        <v>1.01375169909894</v>
      </c>
      <c r="AI133" s="32">
        <f t="shared" si="131"/>
        <v>0.164899578529686</v>
      </c>
      <c r="AJ133" s="32" t="str">
        <f t="shared" si="111"/>
        <v>1+0,000177504702924264i</v>
      </c>
      <c r="AK133" s="32">
        <f t="shared" si="132"/>
        <v>1.00000001575396</v>
      </c>
      <c r="AL133" s="32">
        <f t="shared" si="133"/>
        <v>0.000177504701059996</v>
      </c>
      <c r="AM133" s="32" t="str">
        <f t="shared" si="112"/>
        <v>1-0,0019845629103228i</v>
      </c>
      <c r="AN133" s="32">
        <f t="shared" si="134"/>
        <v>1.00000196924303</v>
      </c>
      <c r="AO133" s="32">
        <f t="shared" si="135"/>
        <v>-0.00198456030493527</v>
      </c>
      <c r="AP133" s="30" t="str">
        <f t="shared" si="136"/>
        <v>73,4113614618531-12,3528062521915i</v>
      </c>
      <c r="AQ133" s="32">
        <f t="shared" si="137"/>
        <v>37.4365240108113</v>
      </c>
      <c r="AR133" s="31">
        <f t="shared" si="138"/>
        <v>-9.55158655268458</v>
      </c>
      <c r="AS133" t="str">
        <f t="shared" si="113"/>
        <v>-0,000338461538461538</v>
      </c>
      <c r="AT133" t="str">
        <f t="shared" si="114"/>
        <v>0,000155364541328521i</v>
      </c>
      <c r="AU133">
        <f t="shared" si="139"/>
        <v>0.000155364541328521</v>
      </c>
      <c r="AV133">
        <f t="shared" si="140"/>
        <v>1.5707963267949</v>
      </c>
      <c r="AW133" t="str">
        <f t="shared" si="115"/>
        <v>1+0,0252150899004282i</v>
      </c>
      <c r="AX133">
        <f t="shared" si="141"/>
        <v>1.00031784986507</v>
      </c>
      <c r="AY133">
        <f t="shared" si="142"/>
        <v>0.0252097480136759</v>
      </c>
      <c r="AZ133" t="str">
        <f t="shared" si="116"/>
        <v>1+0,220105831626088i</v>
      </c>
      <c r="BA133">
        <f t="shared" si="143"/>
        <v>1.02393680328222</v>
      </c>
      <c r="BB133">
        <f t="shared" si="144"/>
        <v>0.216651248581071</v>
      </c>
      <c r="BC133" s="30" t="str">
        <f t="shared" si="145"/>
        <v>-0,424299566828246+2,18919801266919i</v>
      </c>
      <c r="BD133" s="32">
        <f t="shared" si="146"/>
        <v>6.9658510304217</v>
      </c>
      <c r="BE133" s="31">
        <f t="shared" si="147"/>
        <v>100.968790006163</v>
      </c>
      <c r="BF133" s="30" t="str">
        <f t="shared" si="148"/>
        <v>2,52469346229674+32,2870493702378i</v>
      </c>
      <c r="BG133" s="68">
        <f t="shared" si="149"/>
        <v>30.2070412145991</v>
      </c>
      <c r="BH133" s="31">
        <f t="shared" si="150"/>
        <v>85.5288411169177</v>
      </c>
      <c r="BI133" s="30" t="str">
        <f t="shared" si="156"/>
        <v>-4,10566997035088+165,953296961546i</v>
      </c>
      <c r="BJ133" s="68">
        <f t="shared" si="151"/>
        <v>44.402375041233</v>
      </c>
      <c r="BK133" s="31">
        <f t="shared" si="157"/>
        <v>91.4172034534786</v>
      </c>
      <c r="BL133" s="32">
        <f t="shared" si="152"/>
        <v>30.2070412145991</v>
      </c>
      <c r="BM133" s="31">
        <f t="shared" si="153"/>
        <v>85.5288411169177</v>
      </c>
      <c r="BO133">
        <f t="shared" si="154"/>
        <v>0</v>
      </c>
      <c r="BP133">
        <f t="shared" si="155"/>
        <v>0</v>
      </c>
    </row>
    <row r="134" spans="14:68">
      <c r="N134" s="7">
        <v>16</v>
      </c>
      <c r="O134" s="18">
        <f t="shared" si="158"/>
        <v>144.543977074593</v>
      </c>
      <c r="P134" s="86" t="str">
        <f t="shared" si="105"/>
        <v>15</v>
      </c>
      <c r="Q134" s="4" t="str">
        <f t="shared" si="106"/>
        <v>1+0,264890672957279i</v>
      </c>
      <c r="R134" s="4">
        <f t="shared" si="118"/>
        <v>1.03448879579228</v>
      </c>
      <c r="S134" s="4">
        <f t="shared" si="119"/>
        <v>0.258943574398623</v>
      </c>
      <c r="T134" s="4" t="str">
        <f t="shared" si="107"/>
        <v>1+0,000181639318599277i</v>
      </c>
      <c r="U134" s="4">
        <f t="shared" si="120"/>
        <v>1.00000001649642</v>
      </c>
      <c r="V134" s="4">
        <f t="shared" si="121"/>
        <v>0.000181639316601678</v>
      </c>
      <c r="W134" t="str">
        <f t="shared" si="108"/>
        <v>1-0,0158934403774368i</v>
      </c>
      <c r="X134" s="4">
        <f t="shared" si="122"/>
        <v>1.00012629274859</v>
      </c>
      <c r="Y134" s="4">
        <f t="shared" si="123"/>
        <v>-0.0158921023448784</v>
      </c>
      <c r="Z134" t="str">
        <f t="shared" si="109"/>
        <v>0,999999851427831+0,000843325407782355i</v>
      </c>
      <c r="AA134" s="4">
        <f t="shared" si="124"/>
        <v>1.00000020702669</v>
      </c>
      <c r="AB134" s="4">
        <f t="shared" si="125"/>
        <v>0.000843325333153346</v>
      </c>
      <c r="AC134" s="67" t="str">
        <f t="shared" si="126"/>
        <v>13,9548833983526-3,94484525011228i</v>
      </c>
      <c r="AD134" s="68">
        <f t="shared" si="127"/>
        <v>23.2284045952695</v>
      </c>
      <c r="AE134" s="31">
        <f t="shared" si="128"/>
        <v>-15.7848361531357</v>
      </c>
      <c r="AF134" s="32" t="str">
        <f t="shared" si="129"/>
        <v>75,4669735059805</v>
      </c>
      <c r="AG134" s="32" t="str">
        <f t="shared" si="110"/>
        <v>1+0,170286861186822i</v>
      </c>
      <c r="AH134" s="32">
        <f t="shared" si="130"/>
        <v>1.01439519670238</v>
      </c>
      <c r="AI134" s="32">
        <f t="shared" si="131"/>
        <v>0.168668947684782</v>
      </c>
      <c r="AJ134" s="32" t="str">
        <f t="shared" si="111"/>
        <v>1+0,000181639318599277i</v>
      </c>
      <c r="AK134" s="32">
        <f t="shared" si="132"/>
        <v>1.00000001649642</v>
      </c>
      <c r="AL134" s="32">
        <f t="shared" si="133"/>
        <v>0.000181639316601678</v>
      </c>
      <c r="AM134" s="32" t="str">
        <f t="shared" si="112"/>
        <v>1-0,00203078931887363i</v>
      </c>
      <c r="AN134" s="32">
        <f t="shared" si="134"/>
        <v>1.0000020620505</v>
      </c>
      <c r="AO134" s="32">
        <f t="shared" si="135"/>
        <v>-0.0020307865271509</v>
      </c>
      <c r="AP134" s="30" t="str">
        <f t="shared" si="136"/>
        <v>73,3172135167319-12,6245079148076i</v>
      </c>
      <c r="AQ134" s="32">
        <f t="shared" si="137"/>
        <v>37.4310130437638</v>
      </c>
      <c r="AR134" s="31">
        <f t="shared" si="138"/>
        <v>-9.76996716811374</v>
      </c>
      <c r="AS134" t="str">
        <f t="shared" si="113"/>
        <v>-0,000338461538461538</v>
      </c>
      <c r="AT134" t="str">
        <f t="shared" si="114"/>
        <v>0,000158983446390389i</v>
      </c>
      <c r="AU134">
        <f t="shared" si="139"/>
        <v>0.000158983446390389</v>
      </c>
      <c r="AV134">
        <f t="shared" si="140"/>
        <v>1.5707963267949</v>
      </c>
      <c r="AW134" t="str">
        <f t="shared" si="115"/>
        <v>1+0,0258024247948374i</v>
      </c>
      <c r="AX134">
        <f t="shared" si="141"/>
        <v>1.00033282717568</v>
      </c>
      <c r="AY134">
        <f t="shared" si="142"/>
        <v>0.025796700962908</v>
      </c>
      <c r="AZ134" t="str">
        <f t="shared" si="116"/>
        <v>1+0,225232755063103i</v>
      </c>
      <c r="BA134">
        <f t="shared" si="143"/>
        <v>1.02505111772697</v>
      </c>
      <c r="BB134">
        <f t="shared" si="144"/>
        <v>0.22153597092161</v>
      </c>
      <c r="BC134" s="30" t="str">
        <f t="shared" si="145"/>
        <v>-0,424286861419289+2,13985819345525i</v>
      </c>
      <c r="BD134" s="32">
        <f t="shared" si="146"/>
        <v>6.77516839025038</v>
      </c>
      <c r="BE134" s="31">
        <f t="shared" si="147"/>
        <v>101.215034053605</v>
      </c>
      <c r="BF134" s="30" t="str">
        <f t="shared" si="148"/>
        <v>2,52053575180662+31,5352175886324i</v>
      </c>
      <c r="BG134" s="68">
        <f t="shared" si="149"/>
        <v>30.0035729855199</v>
      </c>
      <c r="BH134" s="31">
        <f t="shared" si="150"/>
        <v>85.4301979004698</v>
      </c>
      <c r="BI134" s="30" t="str">
        <f t="shared" si="156"/>
        <v>-4,09287371118036+162,244852905223i</v>
      </c>
      <c r="BJ134" s="68">
        <f t="shared" si="151"/>
        <v>44.2061814340142</v>
      </c>
      <c r="BK134" s="31">
        <f t="shared" si="157"/>
        <v>91.4450668854917</v>
      </c>
      <c r="BL134" s="32">
        <f t="shared" si="152"/>
        <v>30.0035729855199</v>
      </c>
      <c r="BM134" s="31">
        <f t="shared" si="153"/>
        <v>85.4301979004698</v>
      </c>
      <c r="BO134">
        <f t="shared" si="154"/>
        <v>0</v>
      </c>
      <c r="BP134">
        <f t="shared" si="155"/>
        <v>0</v>
      </c>
    </row>
    <row r="135" spans="14:68">
      <c r="N135" s="7">
        <v>17</v>
      </c>
      <c r="O135" s="18">
        <f t="shared" si="158"/>
        <v>147.910838816821</v>
      </c>
      <c r="P135" s="86" t="str">
        <f t="shared" si="105"/>
        <v>15</v>
      </c>
      <c r="Q135" s="4" t="str">
        <f t="shared" si="106"/>
        <v>1+0,271060769357717i</v>
      </c>
      <c r="R135" s="4">
        <f t="shared" si="118"/>
        <v>1.03608587514974</v>
      </c>
      <c r="S135" s="4">
        <f t="shared" si="119"/>
        <v>0.264700263876416</v>
      </c>
      <c r="T135" s="4" t="str">
        <f t="shared" si="107"/>
        <v>1+0,000185870241845291i</v>
      </c>
      <c r="U135" s="4">
        <f t="shared" si="120"/>
        <v>1.00000001727387</v>
      </c>
      <c r="V135" s="4">
        <f t="shared" si="121"/>
        <v>0.000185870239704825</v>
      </c>
      <c r="W135" t="str">
        <f t="shared" si="108"/>
        <v>1-0,016263646161463i</v>
      </c>
      <c r="X135" s="4">
        <f t="shared" si="122"/>
        <v>1.00013224434895</v>
      </c>
      <c r="Y135" s="4">
        <f t="shared" si="123"/>
        <v>-0.0162622124439843</v>
      </c>
      <c r="Z135" t="str">
        <f t="shared" si="109"/>
        <v>0,99999984442584+0,000862968979995993i</v>
      </c>
      <c r="AA135" s="4">
        <f t="shared" si="124"/>
        <v>1.00000021678356</v>
      </c>
      <c r="AB135" s="4">
        <f t="shared" si="125"/>
        <v>0.00086296890002957</v>
      </c>
      <c r="AC135" s="67" t="str">
        <f t="shared" si="126"/>
        <v>13,9089998190823-4,02429525688787i</v>
      </c>
      <c r="AD135" s="68">
        <f t="shared" si="127"/>
        <v>23.2150569710277</v>
      </c>
      <c r="AE135" s="31">
        <f t="shared" si="128"/>
        <v>-16.1367589902538</v>
      </c>
      <c r="AF135" s="32" t="str">
        <f t="shared" si="129"/>
        <v>75,4669735059805</v>
      </c>
      <c r="AG135" s="32" t="str">
        <f t="shared" si="110"/>
        <v>1+0,174253351729961i</v>
      </c>
      <c r="AH135" s="32">
        <f t="shared" si="130"/>
        <v>1.01506858417997</v>
      </c>
      <c r="AI135" s="32">
        <f t="shared" si="131"/>
        <v>0.172521113087153</v>
      </c>
      <c r="AJ135" s="32" t="str">
        <f t="shared" si="111"/>
        <v>1+0,000185870241845291i</v>
      </c>
      <c r="AK135" s="32">
        <f t="shared" si="132"/>
        <v>1.00000001727387</v>
      </c>
      <c r="AL135" s="32">
        <f t="shared" si="133"/>
        <v>0.000185870239704825</v>
      </c>
      <c r="AM135" s="32" t="str">
        <f t="shared" si="112"/>
        <v>1-0,00207809247880199i</v>
      </c>
      <c r="AN135" s="32">
        <f t="shared" si="134"/>
        <v>1.00000215923184</v>
      </c>
      <c r="AO135" s="32">
        <f t="shared" si="135"/>
        <v>-0.00207808948741754</v>
      </c>
      <c r="AP135" s="30" t="str">
        <f t="shared" si="136"/>
        <v>73,218884145483-12,901436257702i</v>
      </c>
      <c r="AQ135" s="32">
        <f t="shared" si="137"/>
        <v>37.4252498405064</v>
      </c>
      <c r="AR135" s="31">
        <f t="shared" si="138"/>
        <v>-9.99314783360045</v>
      </c>
      <c r="AS135" t="str">
        <f t="shared" si="113"/>
        <v>-0,000338461538461538</v>
      </c>
      <c r="AT135" t="str">
        <f t="shared" si="114"/>
        <v>0,000162686646579928i</v>
      </c>
      <c r="AU135">
        <f t="shared" si="139"/>
        <v>0.000162686646579928</v>
      </c>
      <c r="AV135">
        <f t="shared" si="140"/>
        <v>1.5707963267949</v>
      </c>
      <c r="AW135" t="str">
        <f t="shared" si="115"/>
        <v>1+0,0264034404764083i</v>
      </c>
      <c r="AX135">
        <f t="shared" si="141"/>
        <v>1.00034851010485</v>
      </c>
      <c r="AY135">
        <f t="shared" si="142"/>
        <v>0.0263973073953928</v>
      </c>
      <c r="AZ135" t="str">
        <f t="shared" si="116"/>
        <v>1+0,230479099888161i</v>
      </c>
      <c r="BA135">
        <f t="shared" si="143"/>
        <v>1.02621665133892</v>
      </c>
      <c r="BB135">
        <f t="shared" si="144"/>
        <v>0.226523369207075</v>
      </c>
      <c r="BC135" s="30" t="str">
        <f t="shared" si="145"/>
        <v>-0,424273558038385+2,09165292449285i</v>
      </c>
      <c r="BD135" s="32">
        <f t="shared" si="146"/>
        <v>6.5849028901509</v>
      </c>
      <c r="BE135" s="31">
        <f t="shared" si="147"/>
        <v>101.466378712384</v>
      </c>
      <c r="BF135" s="30" t="str">
        <f t="shared" si="148"/>
        <v>2,51620810109492+30,8002022155908i</v>
      </c>
      <c r="BG135" s="68">
        <f t="shared" si="149"/>
        <v>29.7999598611786</v>
      </c>
      <c r="BH135" s="31">
        <f t="shared" si="150"/>
        <v>85.3296197221299</v>
      </c>
      <c r="BI135" s="30" t="str">
        <f t="shared" si="156"/>
        <v>-4,07950961342389+158,622231415863i</v>
      </c>
      <c r="BJ135" s="68">
        <f t="shared" si="151"/>
        <v>44.0101527306573</v>
      </c>
      <c r="BK135" s="31">
        <f t="shared" si="157"/>
        <v>91.4732308787832</v>
      </c>
      <c r="BL135" s="32">
        <f t="shared" si="152"/>
        <v>29.7999598611786</v>
      </c>
      <c r="BM135" s="31">
        <f t="shared" si="153"/>
        <v>85.3296197221299</v>
      </c>
      <c r="BO135">
        <f t="shared" si="154"/>
        <v>0</v>
      </c>
      <c r="BP135">
        <f t="shared" si="155"/>
        <v>0</v>
      </c>
    </row>
    <row r="136" spans="14:68">
      <c r="N136" s="7">
        <v>18</v>
      </c>
      <c r="O136" s="18">
        <f t="shared" si="158"/>
        <v>151.356124843621</v>
      </c>
      <c r="P136" s="86" t="str">
        <f t="shared" si="105"/>
        <v>15</v>
      </c>
      <c r="Q136" s="4" t="str">
        <f t="shared" si="106"/>
        <v>1+0,277374585765981i</v>
      </c>
      <c r="R136" s="4">
        <f t="shared" si="118"/>
        <v>1.03775558819447</v>
      </c>
      <c r="S136" s="4">
        <f t="shared" si="119"/>
        <v>0.270572501370437</v>
      </c>
      <c r="T136" s="4" t="str">
        <f t="shared" si="107"/>
        <v>1+0,000190199715953816i</v>
      </c>
      <c r="U136" s="4">
        <f t="shared" si="120"/>
        <v>1.00000001808797</v>
      </c>
      <c r="V136" s="4">
        <f t="shared" si="121"/>
        <v>0.000190199713660265</v>
      </c>
      <c r="W136" t="str">
        <f t="shared" si="108"/>
        <v>1-0,0166424751459589i</v>
      </c>
      <c r="X136" s="4">
        <f t="shared" si="122"/>
        <v>1.00013847640164</v>
      </c>
      <c r="Y136" s="4">
        <f t="shared" si="123"/>
        <v>-0.01664093890149</v>
      </c>
      <c r="Z136" t="str">
        <f t="shared" si="109"/>
        <v>0,999999837093856+0,00088307010978557i</v>
      </c>
      <c r="AA136" s="4">
        <f t="shared" si="124"/>
        <v>1.00000022700025</v>
      </c>
      <c r="AB136" s="4">
        <f t="shared" si="125"/>
        <v>0.000883070024100005</v>
      </c>
      <c r="AC136" s="67" t="str">
        <f t="shared" si="126"/>
        <v>13,8612558292409-4,10479016060136i</v>
      </c>
      <c r="AD136" s="68">
        <f t="shared" si="127"/>
        <v>23.2011244603419</v>
      </c>
      <c r="AE136" s="31">
        <f t="shared" si="128"/>
        <v>-16.4958164915523</v>
      </c>
      <c r="AF136" s="32" t="str">
        <f t="shared" si="129"/>
        <v>75,4669735059805</v>
      </c>
      <c r="AG136" s="32" t="str">
        <f t="shared" si="110"/>
        <v>1+0,178312233706702i</v>
      </c>
      <c r="AH136" s="32">
        <f t="shared" si="130"/>
        <v>1.01577322896869</v>
      </c>
      <c r="AI136" s="32">
        <f t="shared" si="131"/>
        <v>0.176457659673367</v>
      </c>
      <c r="AJ136" s="32" t="str">
        <f t="shared" si="111"/>
        <v>1+0,000190199715953816i</v>
      </c>
      <c r="AK136" s="32">
        <f t="shared" si="132"/>
        <v>1.00000001808797</v>
      </c>
      <c r="AL136" s="32">
        <f t="shared" si="133"/>
        <v>0.000190199713660265</v>
      </c>
      <c r="AM136" s="32" t="str">
        <f t="shared" si="112"/>
        <v>1-0,00212649747086941i</v>
      </c>
      <c r="AN136" s="32">
        <f t="shared" si="134"/>
        <v>1.00000226099319</v>
      </c>
      <c r="AO136" s="32">
        <f t="shared" si="135"/>
        <v>-0.00212649426554362</v>
      </c>
      <c r="AP136" s="30" t="str">
        <f t="shared" si="136"/>
        <v>73,1161998317369-13,1836394435125i</v>
      </c>
      <c r="AQ136" s="32">
        <f t="shared" si="137"/>
        <v>37.4192232141306</v>
      </c>
      <c r="AR136" s="31">
        <f t="shared" si="138"/>
        <v>-10.2212206677568</v>
      </c>
      <c r="AS136" t="str">
        <f t="shared" si="113"/>
        <v>-0,000338461538461538</v>
      </c>
      <c r="AT136" t="str">
        <f t="shared" si="114"/>
        <v>0,000166476105382896i</v>
      </c>
      <c r="AU136">
        <f t="shared" si="139"/>
        <v>0.000166476105382896</v>
      </c>
      <c r="AV136">
        <f t="shared" si="140"/>
        <v>1.5707963267949</v>
      </c>
      <c r="AW136" t="str">
        <f t="shared" si="115"/>
        <v>1+0,0270184556116106i</v>
      </c>
      <c r="AX136">
        <f t="shared" si="141"/>
        <v>1.00036493188418</v>
      </c>
      <c r="AY136">
        <f t="shared" si="142"/>
        <v>0.0270118840263734</v>
      </c>
      <c r="AZ136" t="str">
        <f t="shared" si="116"/>
        <v>1+0,235847647782731i</v>
      </c>
      <c r="BA136">
        <f t="shared" si="143"/>
        <v>1.02743569772743</v>
      </c>
      <c r="BB136">
        <f t="shared" si="144"/>
        <v>0.231615094917401</v>
      </c>
      <c r="BC136" s="30" t="str">
        <f t="shared" si="145"/>
        <v>-0,424259628582571+2,04455664450443i</v>
      </c>
      <c r="BD136" s="32">
        <f t="shared" si="146"/>
        <v>6.39507217871868</v>
      </c>
      <c r="BE136" s="31">
        <f t="shared" si="147"/>
        <v>101.722900458881</v>
      </c>
      <c r="BF136" s="30" t="str">
        <f t="shared" si="148"/>
        <v>2,51170474735217+30,0816194557964i</v>
      </c>
      <c r="BG136" s="68">
        <f t="shared" si="149"/>
        <v>29.5961966390605</v>
      </c>
      <c r="BH136" s="31">
        <f t="shared" si="150"/>
        <v>85.2270839673288</v>
      </c>
      <c r="BI136" s="30" t="str">
        <f t="shared" si="156"/>
        <v>-4,06555416099757+155,083498160563i</v>
      </c>
      <c r="BJ136" s="68">
        <f t="shared" si="151"/>
        <v>43.8142953928493</v>
      </c>
      <c r="BK136" s="31">
        <f t="shared" si="157"/>
        <v>91.5016797911242</v>
      </c>
      <c r="BL136" s="32">
        <f t="shared" si="152"/>
        <v>29.5961966390605</v>
      </c>
      <c r="BM136" s="31">
        <f t="shared" si="153"/>
        <v>85.2270839673288</v>
      </c>
      <c r="BO136">
        <f t="shared" si="154"/>
        <v>0</v>
      </c>
      <c r="BP136">
        <f t="shared" si="155"/>
        <v>0</v>
      </c>
    </row>
    <row r="137" spans="14:68">
      <c r="N137" s="7">
        <v>19</v>
      </c>
      <c r="O137" s="18">
        <f t="shared" si="158"/>
        <v>154.881661891248</v>
      </c>
      <c r="P137" s="86" t="str">
        <f t="shared" si="105"/>
        <v>15</v>
      </c>
      <c r="Q137" s="4" t="str">
        <f t="shared" si="106"/>
        <v>1+0,283835469851105i</v>
      </c>
      <c r="R137" s="4">
        <f t="shared" si="118"/>
        <v>1.03950111781835</v>
      </c>
      <c r="S137" s="4">
        <f t="shared" si="119"/>
        <v>0.276561779820527</v>
      </c>
      <c r="T137" s="4" t="str">
        <f t="shared" si="107"/>
        <v>1+0,000194630036469329i</v>
      </c>
      <c r="U137" s="4">
        <f t="shared" si="120"/>
        <v>1.00000001894043</v>
      </c>
      <c r="V137" s="4">
        <f t="shared" si="121"/>
        <v>0.000194630034011745</v>
      </c>
      <c r="W137" t="str">
        <f t="shared" si="108"/>
        <v>1-0,0170301281910663i</v>
      </c>
      <c r="X137" s="4">
        <f t="shared" si="122"/>
        <v>1.00014500212029</v>
      </c>
      <c r="Y137" s="4">
        <f t="shared" si="123"/>
        <v>-0.0170284820883496</v>
      </c>
      <c r="Z137" t="str">
        <f t="shared" si="109"/>
        <v>0,999999829416326+0,00090363945503617i</v>
      </c>
      <c r="AA137" s="4">
        <f t="shared" si="124"/>
        <v>1.00000023769844</v>
      </c>
      <c r="AB137" s="4">
        <f t="shared" si="125"/>
        <v>0.000903639363222433</v>
      </c>
      <c r="AC137" s="67" t="str">
        <f t="shared" si="126"/>
        <v>13,8115897024775-4,18630599209076i</v>
      </c>
      <c r="AD137" s="68">
        <f t="shared" si="127"/>
        <v>23.1865834484662</v>
      </c>
      <c r="AE137" s="31">
        <f t="shared" si="128"/>
        <v>-16.8621061557183</v>
      </c>
      <c r="AF137" s="32" t="str">
        <f t="shared" si="129"/>
        <v>75,4669735059805</v>
      </c>
      <c r="AG137" s="32" t="str">
        <f t="shared" si="110"/>
        <v>1+0,182465659189996i</v>
      </c>
      <c r="AH137" s="32">
        <f t="shared" si="130"/>
        <v>1.01651055911075</v>
      </c>
      <c r="AI137" s="32">
        <f t="shared" si="131"/>
        <v>0.180480186391635</v>
      </c>
      <c r="AJ137" s="32" t="str">
        <f t="shared" si="111"/>
        <v>1+0,000194630036469329i</v>
      </c>
      <c r="AK137" s="32">
        <f t="shared" si="132"/>
        <v>1.00000001894043</v>
      </c>
      <c r="AL137" s="32">
        <f t="shared" si="133"/>
        <v>0.000194630034011745</v>
      </c>
      <c r="AM137" s="32" t="str">
        <f t="shared" si="112"/>
        <v>1-0,00217602996004342i</v>
      </c>
      <c r="AN137" s="32">
        <f t="shared" si="134"/>
        <v>1.00000236755039</v>
      </c>
      <c r="AO137" s="32">
        <f t="shared" si="135"/>
        <v>-0.00217602652547539</v>
      </c>
      <c r="AP137" s="30" t="str">
        <f t="shared" si="136"/>
        <v>73,0089809952494-13,4711620996252i</v>
      </c>
      <c r="AQ137" s="32">
        <f t="shared" si="137"/>
        <v>37.4129215149747</v>
      </c>
      <c r="AR137" s="31">
        <f t="shared" si="138"/>
        <v>-10.454278622478</v>
      </c>
      <c r="AS137" t="str">
        <f t="shared" si="113"/>
        <v>-0,000338461538461538</v>
      </c>
      <c r="AT137" t="str">
        <f t="shared" si="114"/>
        <v>0,00017035383202051i</v>
      </c>
      <c r="AU137">
        <f t="shared" si="139"/>
        <v>0.00017035383202051</v>
      </c>
      <c r="AV137">
        <f t="shared" si="140"/>
        <v>1.5707963267949</v>
      </c>
      <c r="AW137" t="str">
        <f t="shared" si="115"/>
        <v>1+0,0276477962896098i</v>
      </c>
      <c r="AX137">
        <f t="shared" si="141"/>
        <v>1.0003821273092</v>
      </c>
      <c r="AY137">
        <f t="shared" si="142"/>
        <v>0.0276407548544246</v>
      </c>
      <c r="AZ137" t="str">
        <f t="shared" si="116"/>
        <v>1+0,241341245221968i</v>
      </c>
      <c r="BA137">
        <f t="shared" si="143"/>
        <v>1.02871064767761</v>
      </c>
      <c r="BB137">
        <f t="shared" si="144"/>
        <v>0.236812791232025</v>
      </c>
      <c r="BC137" s="30" t="str">
        <f t="shared" si="145"/>
        <v>-0,424245043632012+1,99854438005563i</v>
      </c>
      <c r="BD137" s="32">
        <f t="shared" si="146"/>
        <v>6.20569455765056</v>
      </c>
      <c r="BE137" s="31">
        <f t="shared" si="147"/>
        <v>101.984674876593</v>
      </c>
      <c r="BF137" s="30" t="str">
        <f t="shared" si="148"/>
        <v>2,50701983773118+29,3790945477921i</v>
      </c>
      <c r="BG137" s="68">
        <f t="shared" si="149"/>
        <v>29.3922780061168</v>
      </c>
      <c r="BH137" s="31">
        <f t="shared" si="150"/>
        <v>85.1225687208751</v>
      </c>
      <c r="BI137" s="30" t="str">
        <f t="shared" si="156"/>
        <v>-4,05098302083397+151,626762414373i</v>
      </c>
      <c r="BJ137" s="68">
        <f t="shared" si="151"/>
        <v>43.6186160726253</v>
      </c>
      <c r="BK137" s="31">
        <f t="shared" si="157"/>
        <v>91.5303962541154</v>
      </c>
      <c r="BL137" s="32">
        <f t="shared" si="152"/>
        <v>29.3922780061168</v>
      </c>
      <c r="BM137" s="31">
        <f t="shared" si="153"/>
        <v>85.1225687208751</v>
      </c>
      <c r="BO137">
        <f t="shared" si="154"/>
        <v>0</v>
      </c>
      <c r="BP137">
        <f t="shared" si="155"/>
        <v>0</v>
      </c>
    </row>
    <row r="138" spans="14:68">
      <c r="N138" s="7">
        <v>20</v>
      </c>
      <c r="O138" s="18">
        <f t="shared" si="158"/>
        <v>158.489319246112</v>
      </c>
      <c r="P138" s="86" t="str">
        <f t="shared" si="105"/>
        <v>15</v>
      </c>
      <c r="Q138" s="4" t="str">
        <f t="shared" si="106"/>
        <v>1+0,290446847259352i</v>
      </c>
      <c r="R138" s="4">
        <f t="shared" si="118"/>
        <v>1.04132577567392</v>
      </c>
      <c r="S138" s="4">
        <f t="shared" si="119"/>
        <v>0.282669555389345</v>
      </c>
      <c r="T138" s="4" t="str">
        <f t="shared" si="107"/>
        <v>1+0,000199163552406413i</v>
      </c>
      <c r="U138" s="4">
        <f t="shared" si="120"/>
        <v>1.00000001983306</v>
      </c>
      <c r="V138" s="4">
        <f t="shared" si="121"/>
        <v>0.000199163549773065</v>
      </c>
      <c r="W138" t="str">
        <f t="shared" si="108"/>
        <v>1-0,0174268108355611i</v>
      </c>
      <c r="X138" s="4">
        <f t="shared" si="122"/>
        <v>1.00015183534096</v>
      </c>
      <c r="Y138" s="4">
        <f t="shared" si="123"/>
        <v>-0.0174250470191835</v>
      </c>
      <c r="Z138" t="str">
        <f t="shared" si="109"/>
        <v>0,999999821376965+0,000924687921886913i</v>
      </c>
      <c r="AA138" s="4">
        <f t="shared" si="124"/>
        <v>1.00000024890083</v>
      </c>
      <c r="AB138" s="4">
        <f t="shared" si="125"/>
        <v>0.000924687823506723</v>
      </c>
      <c r="AC138" s="67" t="str">
        <f t="shared" si="126"/>
        <v>13,7599388830585-4,26881576157955i</v>
      </c>
      <c r="AD138" s="68">
        <f t="shared" si="127"/>
        <v>23.1714095462444</v>
      </c>
      <c r="AE138" s="31">
        <f t="shared" si="128"/>
        <v>-17.2357236514844</v>
      </c>
      <c r="AF138" s="32" t="str">
        <f t="shared" si="129"/>
        <v>75,4669735059805</v>
      </c>
      <c r="AG138" s="32" t="str">
        <f t="shared" si="110"/>
        <v>1+0,186715830381012i</v>
      </c>
      <c r="AH138" s="32">
        <f t="shared" si="130"/>
        <v>1.01728206575899</v>
      </c>
      <c r="AI138" s="32">
        <f t="shared" si="131"/>
        <v>0.184590305082822</v>
      </c>
      <c r="AJ138" s="32" t="str">
        <f t="shared" si="111"/>
        <v>1+0,000199163552406413i</v>
      </c>
      <c r="AK138" s="32">
        <f t="shared" si="132"/>
        <v>1.00000001983306</v>
      </c>
      <c r="AL138" s="32">
        <f t="shared" si="133"/>
        <v>0.000199163549773065</v>
      </c>
      <c r="AM138" s="32" t="str">
        <f t="shared" si="112"/>
        <v>1-0,0022267162091054i</v>
      </c>
      <c r="AN138" s="32">
        <f t="shared" si="134"/>
        <v>1.00000247912946</v>
      </c>
      <c r="AO138" s="32">
        <f t="shared" si="135"/>
        <v>-0.00222671252889994</v>
      </c>
      <c r="AP138" s="30" t="str">
        <f t="shared" si="136"/>
        <v>72,8970418879555-13,7640449710541i</v>
      </c>
      <c r="AQ138" s="32">
        <f t="shared" si="137"/>
        <v>37.4063326145918</v>
      </c>
      <c r="AR138" s="31">
        <f t="shared" si="138"/>
        <v>-10.692415419538</v>
      </c>
      <c r="AS138" t="str">
        <f t="shared" si="113"/>
        <v>-0,000338461538461538</v>
      </c>
      <c r="AT138" t="str">
        <f t="shared" si="114"/>
        <v>0,000174321882514761i</v>
      </c>
      <c r="AU138">
        <f t="shared" si="139"/>
        <v>0.000174321882514761</v>
      </c>
      <c r="AV138">
        <f t="shared" si="140"/>
        <v>1.5707963267949</v>
      </c>
      <c r="AW138" t="str">
        <f t="shared" si="115"/>
        <v>1+0,0282917961951635i</v>
      </c>
      <c r="AX138">
        <f t="shared" si="141"/>
        <v>1.00040013281284</v>
      </c>
      <c r="AY138">
        <f t="shared" si="142"/>
        <v>0.0282842513244048</v>
      </c>
      <c r="AZ138" t="str">
        <f t="shared" si="116"/>
        <v>1+0,246962804983952i</v>
      </c>
      <c r="BA138">
        <f t="shared" si="143"/>
        <v>1.03004399277193</v>
      </c>
      <c r="BB138">
        <f t="shared" si="144"/>
        <v>0.242118090175156</v>
      </c>
      <c r="BC138" s="30" t="str">
        <f t="shared" si="145"/>
        <v>-0,424229772388667+1,95359173230294i</v>
      </c>
      <c r="BD138" s="32">
        <f t="shared" si="146"/>
        <v>6.0167889973934</v>
      </c>
      <c r="BE138" s="31">
        <f t="shared" si="147"/>
        <v>102.251776483229</v>
      </c>
      <c r="BF138" s="30" t="str">
        <f t="shared" si="148"/>
        <v>2,50214743810441+28,6922615778409i</v>
      </c>
      <c r="BG138" s="68">
        <f t="shared" si="149"/>
        <v>29.1881985436378</v>
      </c>
      <c r="BH138" s="31">
        <f t="shared" si="150"/>
        <v>85.0160528317442</v>
      </c>
      <c r="BI138" s="30" t="str">
        <f t="shared" si="156"/>
        <v>-4,03577102943734+148,250176006869i</v>
      </c>
      <c r="BJ138" s="68">
        <f t="shared" si="151"/>
        <v>43.4231216119853</v>
      </c>
      <c r="BK138" s="31">
        <f t="shared" si="157"/>
        <v>91.5593610636907</v>
      </c>
      <c r="BL138" s="32">
        <f t="shared" si="152"/>
        <v>29.1881985436378</v>
      </c>
      <c r="BM138" s="31">
        <f t="shared" si="153"/>
        <v>85.0160528317442</v>
      </c>
      <c r="BO138">
        <f t="shared" si="154"/>
        <v>0</v>
      </c>
      <c r="BP138">
        <f t="shared" si="155"/>
        <v>0</v>
      </c>
    </row>
    <row r="139" spans="14:68">
      <c r="N139" s="7">
        <v>21</v>
      </c>
      <c r="O139" s="18">
        <f t="shared" si="158"/>
        <v>162.181009735893</v>
      </c>
      <c r="P139" s="86" t="str">
        <f t="shared" si="105"/>
        <v>15</v>
      </c>
      <c r="Q139" s="4" t="str">
        <f t="shared" si="106"/>
        <v>1+0,297212223430532i</v>
      </c>
      <c r="R139" s="4">
        <f t="shared" si="118"/>
        <v>1.0432330064547</v>
      </c>
      <c r="S139" s="4">
        <f t="shared" si="119"/>
        <v>0.288897242992632</v>
      </c>
      <c r="T139" s="4" t="str">
        <f t="shared" si="107"/>
        <v>1+0,000203802667495222i</v>
      </c>
      <c r="U139" s="4">
        <f t="shared" si="120"/>
        <v>1.00000002076776</v>
      </c>
      <c r="V139" s="4">
        <f t="shared" si="121"/>
        <v>0.000203802664673538</v>
      </c>
      <c r="W139" t="str">
        <f t="shared" si="108"/>
        <v>1-0,0178327334058319i</v>
      </c>
      <c r="X139" s="4">
        <f t="shared" si="122"/>
        <v>1.00015899055136</v>
      </c>
      <c r="Y139" s="4">
        <f t="shared" si="123"/>
        <v>-0.0178308434587583</v>
      </c>
      <c r="Z139" t="str">
        <f t="shared" si="109"/>
        <v>0,999999812958721+0,000946226670513528i</v>
      </c>
      <c r="AA139" s="4">
        <f t="shared" si="124"/>
        <v>1.00000026063116</v>
      </c>
      <c r="AB139" s="4">
        <f t="shared" si="125"/>
        <v>0.000946226565097256</v>
      </c>
      <c r="AC139" s="67" t="str">
        <f t="shared" si="126"/>
        <v>13,7062400933127-4,35228931102488i</v>
      </c>
      <c r="AD139" s="68">
        <f t="shared" si="127"/>
        <v>23.1555775806174</v>
      </c>
      <c r="AE139" s="31">
        <f t="shared" si="128"/>
        <v>-17.6167625678925</v>
      </c>
      <c r="AF139" s="32" t="str">
        <f t="shared" si="129"/>
        <v>75,4669735059805</v>
      </c>
      <c r="AG139" s="32" t="str">
        <f t="shared" si="110"/>
        <v>1+0,191065000776771i</v>
      </c>
      <c r="AH139" s="32">
        <f t="shared" si="130"/>
        <v>1.01808930576931</v>
      </c>
      <c r="AI139" s="32">
        <f t="shared" si="131"/>
        <v>0.188789639253733</v>
      </c>
      <c r="AJ139" s="32" t="str">
        <f t="shared" si="111"/>
        <v>1+0,000203802667495222i</v>
      </c>
      <c r="AK139" s="32">
        <f t="shared" si="132"/>
        <v>1.00000002076776</v>
      </c>
      <c r="AL139" s="32">
        <f t="shared" si="133"/>
        <v>0.000203802664673538</v>
      </c>
      <c r="AM139" s="32" t="str">
        <f t="shared" si="112"/>
        <v>1-0,00227858309257552i</v>
      </c>
      <c r="AN139" s="32">
        <f t="shared" si="134"/>
        <v>1.00000259596709</v>
      </c>
      <c r="AO139" s="32">
        <f t="shared" si="135"/>
        <v>-0.00227857914916488</v>
      </c>
      <c r="AP139" s="30" t="str">
        <f t="shared" si="136"/>
        <v>72,780190499653-14,06232455372i</v>
      </c>
      <c r="AQ139" s="32">
        <f t="shared" si="137"/>
        <v>37.3994438894577</v>
      </c>
      <c r="AR139" s="31">
        <f t="shared" si="138"/>
        <v>-10.9357254810306</v>
      </c>
      <c r="AS139" t="str">
        <f t="shared" si="113"/>
        <v>-0,000338461538461538</v>
      </c>
      <c r="AT139" t="str">
        <f t="shared" si="114"/>
        <v>0,000178382360778543i</v>
      </c>
      <c r="AU139">
        <f t="shared" si="139"/>
        <v>0.000178382360778543</v>
      </c>
      <c r="AV139">
        <f t="shared" si="140"/>
        <v>1.5707963267949</v>
      </c>
      <c r="AW139" t="str">
        <f t="shared" si="115"/>
        <v>1+0,0289507967855461i</v>
      </c>
      <c r="AX139">
        <f t="shared" si="141"/>
        <v>1.0004189865424</v>
      </c>
      <c r="AY139">
        <f t="shared" si="142"/>
        <v>0.0289427124937284</v>
      </c>
      <c r="AZ139" t="str">
        <f t="shared" si="116"/>
        <v>1+0,252715307694075i</v>
      </c>
      <c r="BA139">
        <f t="shared" si="143"/>
        <v>1.03143832910306</v>
      </c>
      <c r="BB139">
        <f t="shared" si="144"/>
        <v>0.247532609576559</v>
      </c>
      <c r="BC139" s="30" t="str">
        <f t="shared" si="145"/>
        <v>-0,424213782612105+1,90967486404502i</v>
      </c>
      <c r="BD139" s="32">
        <f t="shared" si="146"/>
        <v>5.82837515235005</v>
      </c>
      <c r="BE139" s="31">
        <f t="shared" si="147"/>
        <v>102.524278547045</v>
      </c>
      <c r="BF139" s="30" t="str">
        <f t="shared" si="148"/>
        <v>2,49708154294216+28,0207632984174i</v>
      </c>
      <c r="BG139" s="68">
        <f t="shared" si="149"/>
        <v>28.9839527329674</v>
      </c>
      <c r="BH139" s="31">
        <f t="shared" si="150"/>
        <v>84.9075159791528</v>
      </c>
      <c r="BI139" s="30" t="str">
        <f t="shared" si="156"/>
        <v>-4,0198921808052+144,951932288848i</v>
      </c>
      <c r="BJ139" s="68">
        <f t="shared" si="151"/>
        <v>43.2278190418077</v>
      </c>
      <c r="BK139" s="31">
        <f t="shared" si="157"/>
        <v>91.5885530660147</v>
      </c>
      <c r="BL139" s="32">
        <f t="shared" si="152"/>
        <v>28.9839527329674</v>
      </c>
      <c r="BM139" s="31">
        <f t="shared" si="153"/>
        <v>84.9075159791528</v>
      </c>
      <c r="BO139">
        <f t="shared" si="154"/>
        <v>0</v>
      </c>
      <c r="BP139">
        <f t="shared" si="155"/>
        <v>0</v>
      </c>
    </row>
    <row r="140" spans="14:68">
      <c r="N140" s="7">
        <v>22</v>
      </c>
      <c r="O140" s="18">
        <f t="shared" si="158"/>
        <v>165.958690743756</v>
      </c>
      <c r="P140" s="86" t="str">
        <f t="shared" si="105"/>
        <v>15</v>
      </c>
      <c r="Q140" s="4" t="str">
        <f t="shared" si="106"/>
        <v>1+0,304135185456646i</v>
      </c>
      <c r="R140" s="4">
        <f t="shared" si="118"/>
        <v>1.0452263922389</v>
      </c>
      <c r="S140" s="4">
        <f t="shared" si="119"/>
        <v>0.295246211615958</v>
      </c>
      <c r="T140" s="4" t="str">
        <f t="shared" si="107"/>
        <v>1+0,000208549841455986i</v>
      </c>
      <c r="U140" s="4">
        <f t="shared" si="120"/>
        <v>1.00000002174652</v>
      </c>
      <c r="V140" s="4">
        <f t="shared" si="121"/>
        <v>0.000208549838432497</v>
      </c>
      <c r="W140" t="str">
        <f t="shared" si="108"/>
        <v>1-0,0182481111273988i</v>
      </c>
      <c r="X140" s="4">
        <f t="shared" si="122"/>
        <v>1.00016648292158</v>
      </c>
      <c r="Y140" s="4">
        <f t="shared" si="123"/>
        <v>-0.0182460860308291</v>
      </c>
      <c r="Z140" t="str">
        <f t="shared" si="109"/>
        <v>0,999999804143737+0,000968267121045646i</v>
      </c>
      <c r="AA140" s="4">
        <f t="shared" si="124"/>
        <v>1.00000027291433</v>
      </c>
      <c r="AB140" s="4">
        <f t="shared" si="125"/>
        <v>0.000968267008090077</v>
      </c>
      <c r="AC140" s="67" t="str">
        <f t="shared" si="126"/>
        <v>13,6504294537994-4,43669316624952i</v>
      </c>
      <c r="AD140" s="68">
        <f t="shared" si="127"/>
        <v>23.1390615865707</v>
      </c>
      <c r="AE140" s="31">
        <f t="shared" si="128"/>
        <v>-18.0053141524649</v>
      </c>
      <c r="AF140" s="32" t="str">
        <f t="shared" si="129"/>
        <v>75,4669735059805</v>
      </c>
      <c r="AG140" s="32" t="str">
        <f t="shared" si="110"/>
        <v>1+0,195515476364987i</v>
      </c>
      <c r="AH140" s="32">
        <f t="shared" si="130"/>
        <v>1.01893390438155</v>
      </c>
      <c r="AI140" s="32">
        <f t="shared" si="131"/>
        <v>0.193079822736707</v>
      </c>
      <c r="AJ140" s="32" t="str">
        <f t="shared" si="111"/>
        <v>1+0,000208549841455986i</v>
      </c>
      <c r="AK140" s="32">
        <f t="shared" si="132"/>
        <v>1.00000002174652</v>
      </c>
      <c r="AL140" s="32">
        <f t="shared" si="133"/>
        <v>0.000208549838432497</v>
      </c>
      <c r="AM140" s="32" t="str">
        <f t="shared" si="112"/>
        <v>1-0,00233165811096194i</v>
      </c>
      <c r="AN140" s="32">
        <f t="shared" si="134"/>
        <v>1.00000271831108</v>
      </c>
      <c r="AO140" s="32">
        <f t="shared" si="135"/>
        <v>-0.00233165388552193</v>
      </c>
      <c r="AP140" s="30" t="str">
        <f t="shared" si="136"/>
        <v>72,6582284747714-14,3660327076061i</v>
      </c>
      <c r="AQ140" s="32">
        <f t="shared" si="137"/>
        <v>37.3922422044456</v>
      </c>
      <c r="AR140" s="31">
        <f t="shared" si="138"/>
        <v>-11.1843038533127</v>
      </c>
      <c r="AS140" t="str">
        <f t="shared" si="113"/>
        <v>-0,000338461538461538</v>
      </c>
      <c r="AT140" t="str">
        <f t="shared" si="114"/>
        <v>0,000182537419731181i</v>
      </c>
      <c r="AU140">
        <f t="shared" si="139"/>
        <v>0.000182537419731181</v>
      </c>
      <c r="AV140">
        <f t="shared" si="140"/>
        <v>1.5707963267949</v>
      </c>
      <c r="AW140" t="str">
        <f t="shared" si="115"/>
        <v>1+0,0296251474715936i</v>
      </c>
      <c r="AX140">
        <f t="shared" si="141"/>
        <v>1.00043872844003</v>
      </c>
      <c r="AY140">
        <f t="shared" si="142"/>
        <v>0.0296164852019979</v>
      </c>
      <c r="AZ140" t="str">
        <f t="shared" si="116"/>
        <v>1+0,258601803405423i</v>
      </c>
      <c r="BA140">
        <f t="shared" si="143"/>
        <v>1.03289636107624</v>
      </c>
      <c r="BB140">
        <f t="shared" si="144"/>
        <v>0.253057949842223</v>
      </c>
      <c r="BC140" s="30" t="str">
        <f t="shared" si="145"/>
        <v>-0,424197040552438+1,86677048707105i</v>
      </c>
      <c r="BD140" s="32">
        <f t="shared" si="146"/>
        <v>5.64047337554497</v>
      </c>
      <c r="BE140" s="31">
        <f t="shared" si="147"/>
        <v>102.802252892107</v>
      </c>
      <c r="BF140" s="30" t="str">
        <f t="shared" si="148"/>
        <v>2,49181608637288+27,3642509511604i</v>
      </c>
      <c r="BG140" s="68">
        <f t="shared" si="149"/>
        <v>28.7795349621157</v>
      </c>
      <c r="BH140" s="31">
        <f t="shared" si="150"/>
        <v>84.7969387396416</v>
      </c>
      <c r="BI140" s="30" t="str">
        <f t="shared" si="156"/>
        <v>-4,00331961592444+141,730265118615i</v>
      </c>
      <c r="BJ140" s="68">
        <f t="shared" si="151"/>
        <v>43.0327155799906</v>
      </c>
      <c r="BK140" s="31">
        <f t="shared" si="157"/>
        <v>91.6179490387938</v>
      </c>
      <c r="BL140" s="32">
        <f t="shared" si="152"/>
        <v>28.7795349621157</v>
      </c>
      <c r="BM140" s="31">
        <f t="shared" si="153"/>
        <v>84.7969387396416</v>
      </c>
      <c r="BO140">
        <f t="shared" si="154"/>
        <v>0</v>
      </c>
      <c r="BP140">
        <f t="shared" si="155"/>
        <v>0</v>
      </c>
    </row>
    <row r="141" spans="14:68">
      <c r="N141" s="7">
        <v>23</v>
      </c>
      <c r="O141" s="18">
        <f t="shared" si="158"/>
        <v>169.824365246174</v>
      </c>
      <c r="P141" s="86" t="str">
        <f t="shared" si="105"/>
        <v>15</v>
      </c>
      <c r="Q141" s="4" t="str">
        <f t="shared" si="106"/>
        <v>1+0,311219403983792i</v>
      </c>
      <c r="R141" s="4">
        <f t="shared" si="118"/>
        <v>1.04730965689047</v>
      </c>
      <c r="S141" s="4">
        <f t="shared" si="119"/>
        <v>0.301717779418174</v>
      </c>
      <c r="T141" s="4" t="str">
        <f t="shared" si="107"/>
        <v>1+0,000213407591303172i</v>
      </c>
      <c r="U141" s="4">
        <f t="shared" si="120"/>
        <v>1.0000000227714</v>
      </c>
      <c r="V141" s="4">
        <f t="shared" si="121"/>
        <v>0.000213407588063446</v>
      </c>
      <c r="W141" t="str">
        <f t="shared" si="108"/>
        <v>1-0,0186731642390276i</v>
      </c>
      <c r="X141" s="4">
        <f t="shared" si="122"/>
        <v>1.00017432833616</v>
      </c>
      <c r="Y141" s="4">
        <f t="shared" si="123"/>
        <v>-0.0186709943293846</v>
      </c>
      <c r="Z141" t="str">
        <f t="shared" si="109"/>
        <v>0,999999794913315+0,000990820959621867i</v>
      </c>
      <c r="AA141" s="4">
        <f t="shared" si="124"/>
        <v>1.00000028577638</v>
      </c>
      <c r="AB141" s="4">
        <f t="shared" si="125"/>
        <v>0.000990820838587796</v>
      </c>
      <c r="AC141" s="67" t="str">
        <f t="shared" si="126"/>
        <v>13,5924426168421-4,52199038969079i</v>
      </c>
      <c r="AD141" s="68">
        <f t="shared" si="127"/>
        <v>23.1218348006859</v>
      </c>
      <c r="AE141" s="31">
        <f t="shared" si="128"/>
        <v>-18.4014670372995</v>
      </c>
      <c r="AF141" s="32" t="str">
        <f t="shared" si="129"/>
        <v>75,4669735059805</v>
      </c>
      <c r="AG141" s="32" t="str">
        <f t="shared" si="110"/>
        <v>1+0,200069616846724i</v>
      </c>
      <c r="AH141" s="32">
        <f t="shared" si="130"/>
        <v>1.01981755799025</v>
      </c>
      <c r="AI141" s="32">
        <f t="shared" si="131"/>
        <v>0.197462498229316</v>
      </c>
      <c r="AJ141" s="32" t="str">
        <f t="shared" si="111"/>
        <v>1+0,000213407591303172i</v>
      </c>
      <c r="AK141" s="32">
        <f t="shared" si="132"/>
        <v>1.0000000227714</v>
      </c>
      <c r="AL141" s="32">
        <f t="shared" si="133"/>
        <v>0.000213407588063446</v>
      </c>
      <c r="AM141" s="32" t="str">
        <f t="shared" si="112"/>
        <v>1-0,00238596940534193i</v>
      </c>
      <c r="AN141" s="32">
        <f t="shared" si="134"/>
        <v>1.00000284642095</v>
      </c>
      <c r="AO141" s="32">
        <f t="shared" si="135"/>
        <v>-0.00238596487770208</v>
      </c>
      <c r="AP141" s="30" t="str">
        <f t="shared" si="136"/>
        <v>72,5309510418023-14,6751962493221i</v>
      </c>
      <c r="AQ141" s="32">
        <f t="shared" si="137"/>
        <v>37.3847138961002</v>
      </c>
      <c r="AR141" s="31">
        <f t="shared" si="138"/>
        <v>-11.438246124096</v>
      </c>
      <c r="AS141" t="str">
        <f t="shared" si="113"/>
        <v>-0,000338461538461538</v>
      </c>
      <c r="AT141" t="str">
        <f t="shared" si="114"/>
        <v>0,000186789262439928i</v>
      </c>
      <c r="AU141">
        <f t="shared" si="139"/>
        <v>0.000186789262439928</v>
      </c>
      <c r="AV141">
        <f t="shared" si="140"/>
        <v>1.5707963267949</v>
      </c>
      <c r="AW141" t="str">
        <f t="shared" si="115"/>
        <v>1+0,0303152058029655i</v>
      </c>
      <c r="AX141">
        <f t="shared" si="141"/>
        <v>1.00045940032711</v>
      </c>
      <c r="AY141">
        <f t="shared" si="142"/>
        <v>0.0303059242440423</v>
      </c>
      <c r="AZ141" t="str">
        <f t="shared" si="116"/>
        <v>1+0,264625413215933i</v>
      </c>
      <c r="BA141">
        <f t="shared" si="143"/>
        <v>1.03442090529905</v>
      </c>
      <c r="BB141">
        <f t="shared" si="144"/>
        <v>0.258695690529637</v>
      </c>
      <c r="BC141" s="30" t="str">
        <f t="shared" si="145"/>
        <v>-0,424179510880122+1,82485584979931i</v>
      </c>
      <c r="BD141" s="32">
        <f t="shared" si="146"/>
        <v>5.45310473264277</v>
      </c>
      <c r="BE141" s="31">
        <f t="shared" si="147"/>
        <v>103.085769692144</v>
      </c>
      <c r="BF141" s="30" t="str">
        <f t="shared" si="148"/>
        <v>2,48634495448529+26,7223840941094i</v>
      </c>
      <c r="BG141" s="68">
        <f t="shared" si="149"/>
        <v>28.5749395333287</v>
      </c>
      <c r="BH141" s="31">
        <f t="shared" si="150"/>
        <v>84.6843026548443</v>
      </c>
      <c r="BI141" s="30" t="str">
        <f t="shared" si="156"/>
        <v>-3,98602561405345+138,583447867248i</v>
      </c>
      <c r="BJ141" s="68">
        <f t="shared" si="151"/>
        <v>42.837818628743</v>
      </c>
      <c r="BK141" s="31">
        <f t="shared" si="157"/>
        <v>91.6475235680478</v>
      </c>
      <c r="BL141" s="32">
        <f t="shared" si="152"/>
        <v>28.5749395333287</v>
      </c>
      <c r="BM141" s="31">
        <f t="shared" si="153"/>
        <v>84.6843026548443</v>
      </c>
      <c r="BO141">
        <f t="shared" si="154"/>
        <v>0</v>
      </c>
      <c r="BP141">
        <f t="shared" si="155"/>
        <v>0</v>
      </c>
    </row>
    <row r="142" spans="14:68">
      <c r="N142" s="7">
        <v>24</v>
      </c>
      <c r="O142" s="18">
        <f t="shared" si="158"/>
        <v>173.780082874938</v>
      </c>
      <c r="P142" s="86" t="str">
        <f t="shared" si="105"/>
        <v>15</v>
      </c>
      <c r="Q142" s="4" t="str">
        <f t="shared" si="106"/>
        <v>1+0,318468635158409i</v>
      </c>
      <c r="R142" s="4">
        <f t="shared" si="118"/>
        <v>1.04948667051071</v>
      </c>
      <c r="S142" s="4">
        <f t="shared" si="119"/>
        <v>0.3083132086232</v>
      </c>
      <c r="T142" s="4" t="str">
        <f t="shared" si="107"/>
        <v>1+0,000218378492680052i</v>
      </c>
      <c r="U142" s="4">
        <f t="shared" si="120"/>
        <v>1.00000002384458</v>
      </c>
      <c r="V142" s="4">
        <f t="shared" si="121"/>
        <v>0.000218378489208623</v>
      </c>
      <c r="W142" t="str">
        <f t="shared" si="108"/>
        <v>1-0,0191081181095046i</v>
      </c>
      <c r="X142" s="4">
        <f t="shared" si="122"/>
        <v>1.00018254342779</v>
      </c>
      <c r="Y142" s="4">
        <f t="shared" si="123"/>
        <v>-0.0191057930323498</v>
      </c>
      <c r="Z142" t="str">
        <f t="shared" si="109"/>
        <v>0,999999785247878+0,00101390014458595i</v>
      </c>
      <c r="AA142" s="4">
        <f t="shared" si="124"/>
        <v>1.00000029924461</v>
      </c>
      <c r="AB142" s="4">
        <f t="shared" si="125"/>
        <v>0.00101390001489561</v>
      </c>
      <c r="AC142" s="67" t="str">
        <f t="shared" si="126"/>
        <v>13,5322149140357-4,60814043469564i</v>
      </c>
      <c r="AD142" s="68">
        <f t="shared" si="127"/>
        <v>23.103869656466</v>
      </c>
      <c r="AE142" s="31">
        <f t="shared" si="128"/>
        <v>-18.8053069531836</v>
      </c>
      <c r="AF142" s="32" t="str">
        <f t="shared" si="129"/>
        <v>75,4669735059805</v>
      </c>
      <c r="AG142" s="32" t="str">
        <f t="shared" si="110"/>
        <v>1+0,204729836887549i</v>
      </c>
      <c r="AH142" s="32">
        <f t="shared" si="130"/>
        <v>1.02074203700641</v>
      </c>
      <c r="AI142" s="32">
        <f t="shared" si="131"/>
        <v>0.201939315707957</v>
      </c>
      <c r="AJ142" s="32" t="str">
        <f t="shared" si="111"/>
        <v>1+0,000218378492680052i</v>
      </c>
      <c r="AK142" s="32">
        <f t="shared" si="132"/>
        <v>1.00000002384458</v>
      </c>
      <c r="AL142" s="32">
        <f t="shared" si="133"/>
        <v>0.000218378489208623</v>
      </c>
      <c r="AM142" s="32" t="str">
        <f t="shared" si="112"/>
        <v>1-0,00244154577228268i</v>
      </c>
      <c r="AN142" s="32">
        <f t="shared" si="134"/>
        <v>1.00000298056844</v>
      </c>
      <c r="AO142" s="32">
        <f t="shared" si="135"/>
        <v>-0.00244154092082996</v>
      </c>
      <c r="AP142" s="30" t="str">
        <f t="shared" si="136"/>
        <v>72,3981469570808-14,9898365236731i</v>
      </c>
      <c r="AQ142" s="32">
        <f t="shared" si="137"/>
        <v>37.3768447557438</v>
      </c>
      <c r="AR142" s="31">
        <f t="shared" si="138"/>
        <v>-11.6976483323298</v>
      </c>
      <c r="AS142" t="str">
        <f t="shared" si="113"/>
        <v>-0,000338461538461538</v>
      </c>
      <c r="AT142" t="str">
        <f t="shared" si="114"/>
        <v>0,000191140143288069i</v>
      </c>
      <c r="AU142">
        <f t="shared" si="139"/>
        <v>0.000191140143288069</v>
      </c>
      <c r="AV142">
        <f t="shared" si="140"/>
        <v>1.5707963267949</v>
      </c>
      <c r="AW142" t="str">
        <f t="shared" si="115"/>
        <v>1+0,0310213376577236i</v>
      </c>
      <c r="AX142">
        <f t="shared" si="141"/>
        <v>1.00048104599241</v>
      </c>
      <c r="AY142">
        <f t="shared" si="142"/>
        <v>0.0310113925464005</v>
      </c>
      <c r="AZ142" t="str">
        <f t="shared" si="116"/>
        <v>1+0,270789330923264i</v>
      </c>
      <c r="BA142">
        <f t="shared" si="143"/>
        <v>1.03601489455599</v>
      </c>
      <c r="BB142">
        <f t="shared" si="144"/>
        <v>0.264447386722954</v>
      </c>
      <c r="BC142" s="30" t="str">
        <f t="shared" si="145"/>
        <v>-0,424161156612576+1,78390872519915i</v>
      </c>
      <c r="BD142" s="32">
        <f t="shared" si="146"/>
        <v>5.26629101520383</v>
      </c>
      <c r="BE142" s="31">
        <f t="shared" si="147"/>
        <v>103.374897252757</v>
      </c>
      <c r="BF142" s="30" t="str">
        <f t="shared" si="148"/>
        <v>2,48066199892922+26,094830433032i</v>
      </c>
      <c r="BG142" s="68">
        <f t="shared" si="149"/>
        <v>28.3701606716699</v>
      </c>
      <c r="BH142" s="31">
        <f t="shared" si="150"/>
        <v>84.5695902995735</v>
      </c>
      <c r="BI142" s="30" t="str">
        <f t="shared" si="156"/>
        <v>-3,9679815860333+135,509792442301i</v>
      </c>
      <c r="BJ142" s="68">
        <f t="shared" si="151"/>
        <v>42.6431357709476</v>
      </c>
      <c r="BK142" s="31">
        <f t="shared" si="157"/>
        <v>91.6772489204273</v>
      </c>
      <c r="BL142" s="32">
        <f t="shared" si="152"/>
        <v>28.3701606716699</v>
      </c>
      <c r="BM142" s="31">
        <f t="shared" si="153"/>
        <v>84.5695902995735</v>
      </c>
      <c r="BO142">
        <f t="shared" si="154"/>
        <v>0</v>
      </c>
      <c r="BP142">
        <f t="shared" si="155"/>
        <v>0</v>
      </c>
    </row>
    <row r="143" spans="14:68">
      <c r="N143" s="7">
        <v>25</v>
      </c>
      <c r="O143" s="18">
        <f t="shared" si="158"/>
        <v>177.827941003892</v>
      </c>
      <c r="P143" s="86" t="str">
        <f t="shared" si="105"/>
        <v>15</v>
      </c>
      <c r="Q143" s="4" t="str">
        <f t="shared" si="106"/>
        <v>1+0,325886722618817i</v>
      </c>
      <c r="R143" s="4">
        <f t="shared" si="118"/>
        <v>1.05176145393299</v>
      </c>
      <c r="S143" s="4">
        <f t="shared" si="119"/>
        <v>0.315033700203037</v>
      </c>
      <c r="T143" s="4" t="str">
        <f t="shared" si="107"/>
        <v>1+0,000223465181224332i</v>
      </c>
      <c r="U143" s="4">
        <f t="shared" si="120"/>
        <v>1.00000002496834</v>
      </c>
      <c r="V143" s="4">
        <f t="shared" si="121"/>
        <v>0.000223465177504629</v>
      </c>
      <c r="W143" t="str">
        <f t="shared" si="108"/>
        <v>1-0,0195532033571291i</v>
      </c>
      <c r="X143" s="4">
        <f t="shared" si="122"/>
        <v>1.00019114561244</v>
      </c>
      <c r="Y143" s="4">
        <f t="shared" si="123"/>
        <v>-0.0195507120177857</v>
      </c>
      <c r="Z143" t="str">
        <f t="shared" si="109"/>
        <v>0,999999775126922+0,00103751691282725i</v>
      </c>
      <c r="AA143" s="4">
        <f t="shared" si="124"/>
        <v>1.00000031334757</v>
      </c>
      <c r="AB143" s="4">
        <f t="shared" si="125"/>
        <v>0.00103751677386155</v>
      </c>
      <c r="AC143" s="67" t="str">
        <f t="shared" si="126"/>
        <v>13,4696815183042-4,69509900238936i</v>
      </c>
      <c r="AD143" s="68">
        <f t="shared" si="127"/>
        <v>23.0851377816172</v>
      </c>
      <c r="AE143" s="31">
        <f t="shared" si="128"/>
        <v>-19.2169164318957</v>
      </c>
      <c r="AF143" s="32" t="str">
        <f t="shared" si="129"/>
        <v>75,4669735059805</v>
      </c>
      <c r="AG143" s="32" t="str">
        <f t="shared" si="110"/>
        <v>1+0,209498607397811i</v>
      </c>
      <c r="AH143" s="32">
        <f t="shared" si="130"/>
        <v>1.02170918881139</v>
      </c>
      <c r="AI143" s="32">
        <f t="shared" si="131"/>
        <v>0.206511930708893</v>
      </c>
      <c r="AJ143" s="32" t="str">
        <f t="shared" si="111"/>
        <v>1+0,000223465181224332i</v>
      </c>
      <c r="AK143" s="32">
        <f t="shared" si="132"/>
        <v>1.00000002496834</v>
      </c>
      <c r="AL143" s="32">
        <f t="shared" si="133"/>
        <v>0.000223465177504629</v>
      </c>
      <c r="AM143" s="32" t="str">
        <f t="shared" si="112"/>
        <v>1-0,00249841667910958i</v>
      </c>
      <c r="AN143" s="32">
        <f t="shared" si="134"/>
        <v>1.00000312103808</v>
      </c>
      <c r="AO143" s="32">
        <f t="shared" si="135"/>
        <v>-0.00249841148068521</v>
      </c>
      <c r="AP143" s="30" t="str">
        <f t="shared" si="136"/>
        <v>72,2595984647344-15,3099689539052i</v>
      </c>
      <c r="AQ143" s="32">
        <f t="shared" si="137"/>
        <v>37.3686200124575</v>
      </c>
      <c r="AR143" s="31">
        <f t="shared" si="138"/>
        <v>-11.9626068705088</v>
      </c>
      <c r="AS143" t="str">
        <f t="shared" si="113"/>
        <v>-0,000338461538461538</v>
      </c>
      <c r="AT143" t="str">
        <f t="shared" si="114"/>
        <v>0,00019559236917022i</v>
      </c>
      <c r="AU143">
        <f t="shared" si="139"/>
        <v>0.00019559236917022</v>
      </c>
      <c r="AV143">
        <f t="shared" si="140"/>
        <v>1.5707963267949</v>
      </c>
      <c r="AW143" t="str">
        <f t="shared" si="115"/>
        <v>1+0,0317439174363237i</v>
      </c>
      <c r="AX143">
        <f t="shared" si="141"/>
        <v>1.00050371128457</v>
      </c>
      <c r="AY143">
        <f t="shared" si="142"/>
        <v>0.0317332613472865</v>
      </c>
      <c r="AZ143" t="str">
        <f t="shared" si="116"/>
        <v>1+0,277096824718172i</v>
      </c>
      <c r="BA143">
        <f t="shared" si="143"/>
        <v>1.03768138186483</v>
      </c>
      <c r="BB143">
        <f t="shared" si="144"/>
        <v>0.270314565203762</v>
      </c>
      <c r="BC143" s="30" t="str">
        <f t="shared" si="145"/>
        <v>-0,424141939037401+1,74390739899019i</v>
      </c>
      <c r="BD143" s="32">
        <f t="shared" si="146"/>
        <v>5.08005475305515</v>
      </c>
      <c r="BE143" s="31">
        <f t="shared" si="147"/>
        <v>103.669701781704</v>
      </c>
      <c r="BF143" s="30" t="str">
        <f t="shared" si="148"/>
        <v>2,47476105186848+25,4812656566581i</v>
      </c>
      <c r="BG143" s="68">
        <f t="shared" si="149"/>
        <v>28.1651925346723</v>
      </c>
      <c r="BH143" s="31">
        <f t="shared" si="150"/>
        <v>84.4527853498087</v>
      </c>
      <c r="BI143" s="30" t="str">
        <f t="shared" si="156"/>
        <v>-3,94915806987107+132,507648329422i</v>
      </c>
      <c r="BJ143" s="68">
        <f t="shared" si="151"/>
        <v>42.4486747655126</v>
      </c>
      <c r="BK143" s="31">
        <f t="shared" si="157"/>
        <v>91.7070949111955</v>
      </c>
      <c r="BL143" s="32">
        <f t="shared" si="152"/>
        <v>28.1651925346723</v>
      </c>
      <c r="BM143" s="31">
        <f t="shared" si="153"/>
        <v>84.4527853498087</v>
      </c>
      <c r="BO143">
        <f t="shared" si="154"/>
        <v>0</v>
      </c>
      <c r="BP143">
        <f t="shared" si="155"/>
        <v>0</v>
      </c>
    </row>
    <row r="144" spans="14:68">
      <c r="N144" s="7">
        <v>26</v>
      </c>
      <c r="O144" s="18">
        <f t="shared" si="158"/>
        <v>181.970085860998</v>
      </c>
      <c r="P144" s="86" t="str">
        <f t="shared" si="105"/>
        <v>15</v>
      </c>
      <c r="Q144" s="4" t="str">
        <f t="shared" si="106"/>
        <v>1+0,333477599533175i</v>
      </c>
      <c r="R144" s="4">
        <f t="shared" si="118"/>
        <v>1.05413818325228</v>
      </c>
      <c r="S144" s="4">
        <f t="shared" si="119"/>
        <v>0.321880388356575</v>
      </c>
      <c r="T144" s="4" t="str">
        <f t="shared" si="107"/>
        <v>1+0,000228670353965606i</v>
      </c>
      <c r="U144" s="4">
        <f t="shared" si="120"/>
        <v>1.00000002614507</v>
      </c>
      <c r="V144" s="4">
        <f t="shared" si="121"/>
        <v>0.000228670349979872</v>
      </c>
      <c r="W144" t="str">
        <f t="shared" si="108"/>
        <v>1-0,0200086559719905i</v>
      </c>
      <c r="X144" s="4">
        <f t="shared" si="122"/>
        <v>1.00020015312627</v>
      </c>
      <c r="Y144" s="4">
        <f t="shared" si="123"/>
        <v>-0.0200059864826391</v>
      </c>
      <c r="Z144" t="str">
        <f t="shared" si="109"/>
        <v>0,99999976452898+0,00106168378626888i</v>
      </c>
      <c r="AA144" s="4">
        <f t="shared" si="124"/>
        <v>1.00000032811518</v>
      </c>
      <c r="AB144" s="4">
        <f t="shared" si="125"/>
        <v>0.00106168363736445</v>
      </c>
      <c r="AC144" s="67" t="str">
        <f t="shared" si="126"/>
        <v>13,4047776210321-4,78281790224827i</v>
      </c>
      <c r="AD144" s="68">
        <f t="shared" si="127"/>
        <v>23.0656099974722</v>
      </c>
      <c r="AE144" s="31">
        <f t="shared" si="128"/>
        <v>-19.6363744969601</v>
      </c>
      <c r="AF144" s="32" t="str">
        <f t="shared" si="129"/>
        <v>75,4669735059805</v>
      </c>
      <c r="AG144" s="32" t="str">
        <f t="shared" si="110"/>
        <v>1+0,214378456842756i</v>
      </c>
      <c r="AH144" s="32">
        <f t="shared" si="130"/>
        <v>1.02272094080364</v>
      </c>
      <c r="AI144" s="32">
        <f t="shared" si="131"/>
        <v>0.211182002470304</v>
      </c>
      <c r="AJ144" s="32" t="str">
        <f t="shared" si="111"/>
        <v>1+0,000228670353965606i</v>
      </c>
      <c r="AK144" s="32">
        <f t="shared" si="132"/>
        <v>1.00000002614507</v>
      </c>
      <c r="AL144" s="32">
        <f t="shared" si="133"/>
        <v>0.000228670349979872</v>
      </c>
      <c r="AM144" s="32" t="str">
        <f t="shared" si="112"/>
        <v>1-0,00255661227953017i</v>
      </c>
      <c r="AN144" s="32">
        <f t="shared" si="134"/>
        <v>1.00000326812783</v>
      </c>
      <c r="AO144" s="32">
        <f t="shared" si="135"/>
        <v>-0.00255660670931908</v>
      </c>
      <c r="AP144" s="30" t="str">
        <f t="shared" si="136"/>
        <v>72,115081274744-15,6356025703896i</v>
      </c>
      <c r="AQ144" s="32">
        <f t="shared" si="137"/>
        <v>37.3600243159798</v>
      </c>
      <c r="AR144" s="31">
        <f t="shared" si="138"/>
        <v>-12.2332183790349</v>
      </c>
      <c r="AS144" t="str">
        <f t="shared" si="113"/>
        <v>-0,000338461538461538</v>
      </c>
      <c r="AT144" t="str">
        <f t="shared" si="114"/>
        <v>0,000200148300715476i</v>
      </c>
      <c r="AU144">
        <f t="shared" si="139"/>
        <v>0.000200148300715476</v>
      </c>
      <c r="AV144">
        <f t="shared" si="140"/>
        <v>1.5707963267949</v>
      </c>
      <c r="AW144" t="str">
        <f t="shared" si="115"/>
        <v>1+0,0324833282601286i</v>
      </c>
      <c r="AX144">
        <f t="shared" si="141"/>
        <v>1.00052744420873</v>
      </c>
      <c r="AY144">
        <f t="shared" si="142"/>
        <v>0.032471910380077</v>
      </c>
      <c r="AZ144" t="str">
        <f t="shared" si="116"/>
        <v>1+0,283551238917351i</v>
      </c>
      <c r="BA144">
        <f t="shared" si="143"/>
        <v>1.03942354461094</v>
      </c>
      <c r="BB144">
        <f t="shared" si="144"/>
        <v>0.276298720413953</v>
      </c>
      <c r="BC144" s="30" t="str">
        <f t="shared" si="145"/>
        <v>-0,424121817632148+1,7048306581122i</v>
      </c>
      <c r="BD144" s="32">
        <f t="shared" si="146"/>
        <v>4.89441922564411</v>
      </c>
      <c r="BE144" s="31">
        <f t="shared" si="147"/>
        <v>103.970247147079</v>
      </c>
      <c r="BF144" s="30" t="str">
        <f t="shared" si="148"/>
        <v>2,46863594233386+24,881373275617i</v>
      </c>
      <c r="BG144" s="68">
        <f t="shared" si="149"/>
        <v>27.9600292231163</v>
      </c>
      <c r="BH144" s="31">
        <f t="shared" si="150"/>
        <v>84.3338726501192</v>
      </c>
      <c r="BI144" s="30" t="str">
        <f t="shared" si="156"/>
        <v>-3,9295247288764+129,575401651364i</v>
      </c>
      <c r="BJ144" s="68">
        <f t="shared" si="151"/>
        <v>42.2544435416239</v>
      </c>
      <c r="BK144" s="31">
        <f t="shared" si="157"/>
        <v>91.7370287680444</v>
      </c>
      <c r="BL144" s="32">
        <f t="shared" si="152"/>
        <v>27.9600292231163</v>
      </c>
      <c r="BM144" s="31">
        <f t="shared" si="153"/>
        <v>84.3338726501192</v>
      </c>
      <c r="BO144">
        <f t="shared" si="154"/>
        <v>0</v>
      </c>
      <c r="BP144">
        <f t="shared" si="155"/>
        <v>0</v>
      </c>
    </row>
    <row r="145" spans="14:68">
      <c r="N145" s="7">
        <v>27</v>
      </c>
      <c r="O145" s="18">
        <f t="shared" si="158"/>
        <v>186.208713666287</v>
      </c>
      <c r="P145" s="86" t="str">
        <f t="shared" si="105"/>
        <v>15</v>
      </c>
      <c r="Q145" s="4" t="str">
        <f t="shared" si="106"/>
        <v>1+0,341245290684906i</v>
      </c>
      <c r="R145" s="4">
        <f t="shared" si="118"/>
        <v>1.05662119438076</v>
      </c>
      <c r="S145" s="4">
        <f t="shared" si="119"/>
        <v>0.328854334790419</v>
      </c>
      <c r="T145" s="4" t="str">
        <f t="shared" si="107"/>
        <v>1+0,000233996770755364i</v>
      </c>
      <c r="U145" s="4">
        <f t="shared" si="120"/>
        <v>1.00000002737724</v>
      </c>
      <c r="V145" s="4">
        <f t="shared" si="121"/>
        <v>0.000233996766484573</v>
      </c>
      <c r="W145" t="str">
        <f t="shared" si="108"/>
        <v>1-0,0204747174410944i</v>
      </c>
      <c r="X145" s="4">
        <f t="shared" si="122"/>
        <v>1.0002095850642</v>
      </c>
      <c r="Y145" s="4">
        <f t="shared" si="123"/>
        <v>-0.0204718570640898</v>
      </c>
      <c r="Z145" t="str">
        <f t="shared" si="109"/>
        <v>0,999999753431573+0,00108641357850704i</v>
      </c>
      <c r="AA145" s="4">
        <f t="shared" si="124"/>
        <v>1.00000034357878</v>
      </c>
      <c r="AB145" s="4">
        <f t="shared" si="125"/>
        <v>0.00108641341895307</v>
      </c>
      <c r="AC145" s="67" t="str">
        <f t="shared" si="126"/>
        <v>13,3374386247307-4,87124491760916i</v>
      </c>
      <c r="AD145" s="68">
        <f t="shared" si="127"/>
        <v>23.0452563207476</v>
      </c>
      <c r="AE145" s="31">
        <f t="shared" si="128"/>
        <v>-20.0637563432137</v>
      </c>
      <c r="AF145" s="32" t="str">
        <f t="shared" si="129"/>
        <v>75,4669735059805</v>
      </c>
      <c r="AG145" s="32" t="str">
        <f t="shared" si="110"/>
        <v>1+0,219371972583154i</v>
      </c>
      <c r="AH145" s="32">
        <f t="shared" si="130"/>
        <v>1.02377930353911</v>
      </c>
      <c r="AI145" s="32">
        <f t="shared" si="131"/>
        <v>0.2159511919288</v>
      </c>
      <c r="AJ145" s="32" t="str">
        <f t="shared" si="111"/>
        <v>1+0,000233996770755364i</v>
      </c>
      <c r="AK145" s="32">
        <f t="shared" si="132"/>
        <v>1.00000002737724</v>
      </c>
      <c r="AL145" s="32">
        <f t="shared" si="133"/>
        <v>0.000233996766484573</v>
      </c>
      <c r="AM145" s="32" t="str">
        <f t="shared" si="112"/>
        <v>1-0,00261616342962214i</v>
      </c>
      <c r="AN145" s="32">
        <f t="shared" si="134"/>
        <v>1.00000342214969</v>
      </c>
      <c r="AO145" s="32">
        <f t="shared" si="135"/>
        <v>-0.00261615746103453</v>
      </c>
      <c r="AP145" s="30" t="str">
        <f t="shared" si="136"/>
        <v>71,9643645611841-15,9667395176117i</v>
      </c>
      <c r="AQ145" s="32">
        <f t="shared" si="137"/>
        <v>37.3510417195748</v>
      </c>
      <c r="AR145" s="31">
        <f t="shared" si="138"/>
        <v>-12.5095796322595</v>
      </c>
      <c r="AS145" t="str">
        <f t="shared" si="113"/>
        <v>-0,000338461538461538</v>
      </c>
      <c r="AT145" t="str">
        <f t="shared" si="114"/>
        <v>0,000204810353539048i</v>
      </c>
      <c r="AU145">
        <f t="shared" si="139"/>
        <v>0.000204810353539048</v>
      </c>
      <c r="AV145">
        <f t="shared" si="140"/>
        <v>1.5707963267949</v>
      </c>
      <c r="AW145" t="str">
        <f t="shared" si="115"/>
        <v>1+0,033239962174545i</v>
      </c>
      <c r="AX145">
        <f t="shared" si="141"/>
        <v>1.00055229502778</v>
      </c>
      <c r="AY145">
        <f t="shared" si="142"/>
        <v>0.0332277280603542</v>
      </c>
      <c r="AZ145" t="str">
        <f t="shared" si="116"/>
        <v>1+0,290155995736651i</v>
      </c>
      <c r="BA145">
        <f t="shared" si="143"/>
        <v>1.04124468875569</v>
      </c>
      <c r="BB145">
        <f t="shared" si="144"/>
        <v>0.282401310207899</v>
      </c>
      <c r="BC145" s="30" t="str">
        <f t="shared" si="145"/>
        <v>-0,42410074998039+1,66665777945952i</v>
      </c>
      <c r="BD145" s="32">
        <f t="shared" si="146"/>
        <v>4.70940847223514</v>
      </c>
      <c r="BE145" s="31">
        <f t="shared" si="147"/>
        <v>104.276594623211</v>
      </c>
      <c r="BF145" s="30" t="str">
        <f t="shared" si="148"/>
        <v>2,46228051402025+24,2948444648675i</v>
      </c>
      <c r="BG145" s="68">
        <f t="shared" si="149"/>
        <v>27.7546647929827</v>
      </c>
      <c r="BH145" s="31">
        <f t="shared" si="150"/>
        <v>84.2128382799969</v>
      </c>
      <c r="BI145" s="30" t="str">
        <f t="shared" si="156"/>
        <v>-3,90905035262909+126,711474243919i</v>
      </c>
      <c r="BJ145" s="68">
        <f t="shared" si="151"/>
        <v>42.0604501918099</v>
      </c>
      <c r="BK145" s="31">
        <f t="shared" si="157"/>
        <v>91.7670149909511</v>
      </c>
      <c r="BL145" s="32">
        <f t="shared" si="152"/>
        <v>27.7546647929827</v>
      </c>
      <c r="BM145" s="31">
        <f t="shared" si="153"/>
        <v>84.2128382799969</v>
      </c>
      <c r="BO145">
        <f t="shared" si="154"/>
        <v>0</v>
      </c>
      <c r="BP145">
        <f t="shared" si="155"/>
        <v>0</v>
      </c>
    </row>
    <row r="146" spans="14:68">
      <c r="N146" s="7">
        <v>28</v>
      </c>
      <c r="O146" s="18">
        <f t="shared" si="158"/>
        <v>190.546071796325</v>
      </c>
      <c r="P146" s="86" t="str">
        <f t="shared" si="105"/>
        <v>15</v>
      </c>
      <c r="Q146" s="4" t="str">
        <f t="shared" si="106"/>
        <v>1+0,349193914606676i</v>
      </c>
      <c r="R146" s="4">
        <f t="shared" si="118"/>
        <v>1.05921498761976</v>
      </c>
      <c r="S146" s="4">
        <f t="shared" si="119"/>
        <v>0.33595652280978</v>
      </c>
      <c r="T146" s="4" t="str">
        <f t="shared" si="107"/>
        <v>1+0,000239447255730292i</v>
      </c>
      <c r="U146" s="4">
        <f t="shared" si="120"/>
        <v>1.00000002866749</v>
      </c>
      <c r="V146" s="4">
        <f t="shared" si="121"/>
        <v>0.000239447251154057</v>
      </c>
      <c r="W146" t="str">
        <f t="shared" si="108"/>
        <v>1-0,0209516348764006i</v>
      </c>
      <c r="X146" s="4">
        <f t="shared" si="122"/>
        <v>1.00021946142034</v>
      </c>
      <c r="Y146" s="4">
        <f t="shared" si="123"/>
        <v>-0.0209485699635392</v>
      </c>
      <c r="Z146" t="str">
        <f t="shared" si="109"/>
        <v>0,999999741811161+0,00111171940160492i</v>
      </c>
      <c r="AA146" s="4">
        <f t="shared" si="124"/>
        <v>1.00000035977114</v>
      </c>
      <c r="AB146" s="4">
        <f t="shared" si="125"/>
        <v>0.00111171923063976</v>
      </c>
      <c r="AC146" s="67" t="str">
        <f t="shared" si="126"/>
        <v>13,2676003516303-4,96032367745307i</v>
      </c>
      <c r="AD146" s="68">
        <f t="shared" si="127"/>
        <v>23.0240459678339</v>
      </c>
      <c r="AE146" s="31">
        <f t="shared" si="128"/>
        <v>-20.4991330056484</v>
      </c>
      <c r="AF146" s="32" t="str">
        <f t="shared" si="129"/>
        <v>75,4669735059805</v>
      </c>
      <c r="AG146" s="32" t="str">
        <f t="shared" si="110"/>
        <v>1+0,224481802247149i</v>
      </c>
      <c r="AH146" s="32">
        <f t="shared" si="130"/>
        <v>1.02488637396549</v>
      </c>
      <c r="AI146" s="32">
        <f t="shared" si="131"/>
        <v>0.220821159563851</v>
      </c>
      <c r="AJ146" s="32" t="str">
        <f t="shared" si="111"/>
        <v>1+0,000239447255730292i</v>
      </c>
      <c r="AK146" s="32">
        <f t="shared" si="132"/>
        <v>1.00000002866749</v>
      </c>
      <c r="AL146" s="32">
        <f t="shared" si="133"/>
        <v>0.000239447251154057</v>
      </c>
      <c r="AM146" s="32" t="str">
        <f t="shared" si="112"/>
        <v>1-0,00267710170419354i</v>
      </c>
      <c r="AN146" s="32">
        <f t="shared" si="134"/>
        <v>1.00000358343035</v>
      </c>
      <c r="AO146" s="32">
        <f t="shared" si="135"/>
        <v>-0.00267709530873792</v>
      </c>
      <c r="AP146" s="30" t="str">
        <f t="shared" si="136"/>
        <v>71,8072109828454-16,3033745394493i</v>
      </c>
      <c r="AQ146" s="32">
        <f t="shared" si="137"/>
        <v>37.3416556629244</v>
      </c>
      <c r="AR146" s="31">
        <f t="shared" si="138"/>
        <v>-12.7917874158314</v>
      </c>
      <c r="AS146" t="str">
        <f t="shared" si="113"/>
        <v>-0,000338461538461538</v>
      </c>
      <c r="AT146" t="str">
        <f t="shared" si="114"/>
        <v>0,000209580999523052i</v>
      </c>
      <c r="AU146">
        <f t="shared" si="139"/>
        <v>0.000209580999523052</v>
      </c>
      <c r="AV146">
        <f t="shared" si="140"/>
        <v>1.5707963267949</v>
      </c>
      <c r="AW146" t="str">
        <f t="shared" si="115"/>
        <v>1+0,0340142203568895i</v>
      </c>
      <c r="AX146">
        <f t="shared" si="141"/>
        <v>1.00057831636833</v>
      </c>
      <c r="AY146">
        <f t="shared" si="142"/>
        <v>0.0340011116765325</v>
      </c>
      <c r="AZ146" t="str">
        <f t="shared" si="116"/>
        <v>1+0,296914597105562i</v>
      </c>
      <c r="BA146">
        <f t="shared" si="143"/>
        <v>1.04314825311379</v>
      </c>
      <c r="BB146">
        <f t="shared" si="144"/>
        <v>0.28862375139198</v>
      </c>
      <c r="BC146" s="30" t="str">
        <f t="shared" si="145"/>
        <v>-0,424078691683977+1,62936851887402i</v>
      </c>
      <c r="BD146" s="32">
        <f t="shared" si="146"/>
        <v>4.52504730080088</v>
      </c>
      <c r="BE146" s="31">
        <f t="shared" si="147"/>
        <v>104.588802624175</v>
      </c>
      <c r="BF146" s="30" t="str">
        <f t="shared" si="148"/>
        <v>2,45568864456219+23,7213779094116i</v>
      </c>
      <c r="BG146" s="68">
        <f t="shared" si="149"/>
        <v>27.5490932686348</v>
      </c>
      <c r="BH146" s="31">
        <f t="shared" si="150"/>
        <v>84.0896696185268</v>
      </c>
      <c r="BI146" s="30" t="str">
        <f t="shared" si="156"/>
        <v>-3,88770286108947+123,914322748317i</v>
      </c>
      <c r="BJ146" s="68">
        <f t="shared" si="151"/>
        <v>41.8667029637253</v>
      </c>
      <c r="BK146" s="31">
        <f t="shared" si="157"/>
        <v>91.7970152083438</v>
      </c>
      <c r="BL146" s="32">
        <f t="shared" si="152"/>
        <v>27.5490932686348</v>
      </c>
      <c r="BM146" s="31">
        <f t="shared" si="153"/>
        <v>84.0896696185268</v>
      </c>
      <c r="BO146">
        <f t="shared" si="154"/>
        <v>0</v>
      </c>
      <c r="BP146">
        <f t="shared" si="155"/>
        <v>0</v>
      </c>
    </row>
    <row r="147" spans="14:68">
      <c r="N147" s="7">
        <v>29</v>
      </c>
      <c r="O147" s="18">
        <f t="shared" si="158"/>
        <v>194.984459975805</v>
      </c>
      <c r="P147" s="86" t="str">
        <f t="shared" ref="P147:P210" si="159">COMPLEX(Adc,0)</f>
        <v>15</v>
      </c>
      <c r="Q147" s="4" t="str">
        <f t="shared" ref="Q147:Q210" si="160">IMSUM(COMPLEX(1,0),IMDIV(COMPLEX(0,2*PI()*O147),COMPLEX(wp_lf,0)))</f>
        <v>1+0,357327685764093i</v>
      </c>
      <c r="R147" s="4">
        <f t="shared" si="118"/>
        <v>1.06192423223765</v>
      </c>
      <c r="S147" s="4">
        <f t="shared" si="119"/>
        <v>0.343187851229569</v>
      </c>
      <c r="T147" s="4" t="str">
        <f t="shared" ref="T147:T210" si="161">IMSUM(COMPLEX(1,0),IMDIV(COMPLEX(0,2*PI()*O147),COMPLEX(wz_esr,0)))</f>
        <v>1+0,000245024698809664i</v>
      </c>
      <c r="U147" s="4">
        <f t="shared" si="120"/>
        <v>1.00000003001855</v>
      </c>
      <c r="V147" s="4">
        <f t="shared" si="121"/>
        <v>0.00024502469390614</v>
      </c>
      <c r="W147" t="str">
        <f t="shared" ref="W147:W210" si="162">IMSUB(COMPLEX(1,0),IMDIV(COMPLEX(0,2*PI()*O147),COMPLEX(wz_rhp,0)))</f>
        <v>1-0,0214396611458456i</v>
      </c>
      <c r="X147" s="4">
        <f t="shared" si="122"/>
        <v>1.00022980313028</v>
      </c>
      <c r="Y147" s="4">
        <f t="shared" si="123"/>
        <v>-0.0214363770732955</v>
      </c>
      <c r="Z147" t="str">
        <f t="shared" ref="Z147:Z210" si="163">IMSUM(COMPLEX(1,0),IMDIV(COMPLEX(0,2*PI()*O147),COMPLEX(Q*(wsl/2),0)),IMDIV(IMPOWER(COMPLEX(0,2*PI()*O147),2),IMPOWER(COMPLEX(wsl/2,0),2)))</f>
        <v>0,999999729643096+0,00113761467304487i</v>
      </c>
      <c r="AA147" s="4">
        <f t="shared" si="124"/>
        <v>1.00000037672663</v>
      </c>
      <c r="AB147" s="4">
        <f t="shared" si="125"/>
        <v>0.00113761448985241</v>
      </c>
      <c r="AC147" s="67" t="str">
        <f t="shared" si="126"/>
        <v>13,1951992684965-5,04999353590545i</v>
      </c>
      <c r="AD147" s="68">
        <f t="shared" si="127"/>
        <v>23.0019473618212</v>
      </c>
      <c r="AE147" s="31">
        <f t="shared" si="128"/>
        <v>-20.9425710181128</v>
      </c>
      <c r="AF147" s="32" t="str">
        <f t="shared" si="129"/>
        <v>75,4669735059805</v>
      </c>
      <c r="AG147" s="32" t="str">
        <f t="shared" ref="AG147:AG210" si="164">IMSUM(COMPLEX(1,0),IMDIV(COMPLEX(0,2*PI()*O147),COMPLEX(wp_lf_DCM,0)))</f>
        <v>1+0,22971065513406i</v>
      </c>
      <c r="AH147" s="32">
        <f t="shared" si="130"/>
        <v>1.02604433875058</v>
      </c>
      <c r="AI147" s="32">
        <f t="shared" si="131"/>
        <v>0.225793563083573</v>
      </c>
      <c r="AJ147" s="32" t="str">
        <f t="shared" ref="AJ147:AJ210" si="165">IMSUM(COMPLEX(1,0),IMDIV(COMPLEX(0,2*PI()*O147),COMPLEX(wz1_dcm,0)))</f>
        <v>1+0,000245024698809664i</v>
      </c>
      <c r="AK147" s="32">
        <f t="shared" si="132"/>
        <v>1.00000003001855</v>
      </c>
      <c r="AL147" s="32">
        <f t="shared" si="133"/>
        <v>0.00024502469390614</v>
      </c>
      <c r="AM147" s="32" t="str">
        <f t="shared" ref="AM147:AM210" si="166">IMSUB(COMPLEX(1,0),IMDIV(COMPLEX(0,2*PI()*O147),COMPLEX(wz2_dcm,0)))</f>
        <v>1-0,0027394594135241i</v>
      </c>
      <c r="AN147" s="32">
        <f t="shared" si="134"/>
        <v>1.0000037523119</v>
      </c>
      <c r="AO147" s="32">
        <f t="shared" si="135"/>
        <v>-0.00273945256067133</v>
      </c>
      <c r="AP147" s="30" t="str">
        <f t="shared" si="136"/>
        <v>71,6433767285703-16,6454944428639i</v>
      </c>
      <c r="AQ147" s="32">
        <f t="shared" si="137"/>
        <v>37.3318489551066</v>
      </c>
      <c r="AR147" s="31">
        <f t="shared" si="138"/>
        <v>-13.0799383949751</v>
      </c>
      <c r="AS147" t="str">
        <f t="shared" ref="AS147:AS210" si="167">COMPLEX(Adc_ea,0)</f>
        <v>-0,000338461538461538</v>
      </c>
      <c r="AT147" t="str">
        <f t="shared" ref="AT147:AT210" si="168">COMPLEX(0,2*PI()*O147*wp0_ea)</f>
        <v>0,000214462768127135i</v>
      </c>
      <c r="AU147">
        <f t="shared" si="139"/>
        <v>0.000214462768127135</v>
      </c>
      <c r="AV147">
        <f t="shared" si="140"/>
        <v>1.5707963267949</v>
      </c>
      <c r="AW147" t="str">
        <f t="shared" ref="AW147:AW210" si="169">IMSUM(COMPLEX(1,0),IMDIV(COMPLEX(0,2*PI()*O147),COMPLEX(wp1_ea,0)))</f>
        <v>1+0,0348065133290982i</v>
      </c>
      <c r="AX147">
        <f t="shared" si="141"/>
        <v>1.00060556333159</v>
      </c>
      <c r="AY147">
        <f t="shared" si="142"/>
        <v>0.0347924675841031</v>
      </c>
      <c r="AZ147" t="str">
        <f t="shared" ref="AZ147:AZ210" si="170">IMSUM(COMPLEX(1,0),IMDIV(COMPLEX(0,2*PI()*O147),COMPLEX(wz_ea,0)))</f>
        <v>1+0,303830626523983i</v>
      </c>
      <c r="BA147">
        <f t="shared" si="143"/>
        <v>1.04513781369442</v>
      </c>
      <c r="BB147">
        <f t="shared" si="144"/>
        <v>0.294967415050609</v>
      </c>
      <c r="BC147" s="30" t="str">
        <f t="shared" si="145"/>
        <v>-0,424055596271295+1,59294310039062i</v>
      </c>
      <c r="BD147" s="32">
        <f t="shared" si="146"/>
        <v>4.34136129545088</v>
      </c>
      <c r="BE147" s="31">
        <f t="shared" si="147"/>
        <v>104.906926424869</v>
      </c>
      <c r="BF147" s="30" t="str">
        <f t="shared" si="148"/>
        <v>2,44885426631698+23,1606796530654i</v>
      </c>
      <c r="BG147" s="68">
        <f t="shared" si="149"/>
        <v>27.3433086572721</v>
      </c>
      <c r="BH147" s="31">
        <f t="shared" si="150"/>
        <v>83.9643554067559</v>
      </c>
      <c r="BI147" s="30" t="str">
        <f t="shared" si="156"/>
        <v>-3,86544931217244+121,182437719661i</v>
      </c>
      <c r="BJ147" s="68">
        <f t="shared" si="151"/>
        <v>41.6732102505575</v>
      </c>
      <c r="BK147" s="31">
        <f t="shared" si="157"/>
        <v>91.8269880298936</v>
      </c>
      <c r="BL147" s="32">
        <f t="shared" si="152"/>
        <v>27.3433086572721</v>
      </c>
      <c r="BM147" s="31">
        <f t="shared" si="153"/>
        <v>83.9643554067559</v>
      </c>
      <c r="BO147">
        <f t="shared" si="154"/>
        <v>0</v>
      </c>
      <c r="BP147">
        <f t="shared" si="155"/>
        <v>0</v>
      </c>
    </row>
    <row r="148" spans="14:68">
      <c r="N148" s="7">
        <v>30</v>
      </c>
      <c r="O148" s="18">
        <f t="shared" si="158"/>
        <v>199.526231496888</v>
      </c>
      <c r="P148" s="86" t="str">
        <f t="shared" si="159"/>
        <v>15</v>
      </c>
      <c r="Q148" s="4" t="str">
        <f t="shared" si="160"/>
        <v>1+0,365650916790297i</v>
      </c>
      <c r="R148" s="4">
        <f t="shared" ref="R148:R211" si="171">IMABS(Q148)</f>
        <v>1.06475377104267</v>
      </c>
      <c r="S148" s="4">
        <f t="shared" ref="S148:S211" si="172">IMARGUMENT(Q148)</f>
        <v>0.350549128117943</v>
      </c>
      <c r="T148" s="4" t="str">
        <f t="shared" si="161"/>
        <v>1+0,000250732057227632i</v>
      </c>
      <c r="U148" s="4">
        <f t="shared" ref="U148:U211" si="173">IMABS(T148)</f>
        <v>1.00000003143328</v>
      </c>
      <c r="V148" s="4">
        <f t="shared" ref="V148:V211" si="174">IMARGUMENT(T148)</f>
        <v>0.000250732051973411</v>
      </c>
      <c r="W148" t="str">
        <f t="shared" si="162"/>
        <v>1-0,0219390550074178i</v>
      </c>
      <c r="X148" s="4">
        <f t="shared" ref="X148:X211" si="175">IMABS(W148)</f>
        <v>1.0002406321154</v>
      </c>
      <c r="Y148" s="4">
        <f t="shared" ref="Y148:Y211" si="176">IMARGUMENT(W148)</f>
        <v>-0.0219355361060011</v>
      </c>
      <c r="Z148" t="str">
        <f t="shared" si="163"/>
        <v>0,999999716901568+0,00116411312284257i</v>
      </c>
      <c r="AA148" s="4">
        <f t="shared" ref="AA148:AA211" si="177">IMABS(Z148)</f>
        <v>1.00000039448121</v>
      </c>
      <c r="AB148" s="4">
        <f t="shared" ref="AB148:AB211" si="178">IMARGUMENT(Z148)</f>
        <v>0.00116411292654831</v>
      </c>
      <c r="AC148" s="67" t="str">
        <f t="shared" ref="AC148:AC211" si="179">(IMDIV(IMPRODUCT(P148,T148,W148),IMPRODUCT(Q148,Z148)))</f>
        <v>13,1201727278646-5,14018946099545i</v>
      </c>
      <c r="AD148" s="68">
        <f t="shared" ref="AD148:AD211" si="180">20*LOG(IMABS(AC148))</f>
        <v>22.9789281424649</v>
      </c>
      <c r="AE148" s="31">
        <f t="shared" ref="AE148:AE211" si="181">(180/PI())*IMARGUMENT(AC148)</f>
        <v>-21.3941320625807</v>
      </c>
      <c r="AF148" s="32" t="str">
        <f t="shared" ref="AF148:AF211" si="182">COMPLEX($B$68,0)</f>
        <v>75,4669735059805</v>
      </c>
      <c r="AG148" s="32" t="str">
        <f t="shared" si="164"/>
        <v>1+0,235061303650905i</v>
      </c>
      <c r="AH148" s="32">
        <f t="shared" ref="AH148:AH211" si="183">IMABS(AG148)</f>
        <v>1.02725547770458</v>
      </c>
      <c r="AI148" s="32">
        <f t="shared" ref="AI148:AI211" si="184">IMARGUMENT(AG148)</f>
        <v>0.230870054945448</v>
      </c>
      <c r="AJ148" s="32" t="str">
        <f t="shared" si="165"/>
        <v>1+0,000250732057227632i</v>
      </c>
      <c r="AK148" s="32">
        <f t="shared" ref="AK148:AK211" si="185">IMABS(AJ148)</f>
        <v>1.00000003143328</v>
      </c>
      <c r="AL148" s="32">
        <f t="shared" ref="AL148:AL211" si="186">IMARGUMENT(AJ148)</f>
        <v>0.000250732051973411</v>
      </c>
      <c r="AM148" s="32" t="str">
        <f t="shared" si="166"/>
        <v>1-0,00280326962049676i</v>
      </c>
      <c r="AN148" s="32">
        <f t="shared" ref="AN148:AN211" si="187">IMABS(AM148)</f>
        <v>1.00000392915256</v>
      </c>
      <c r="AO148" s="32">
        <f t="shared" ref="AO148:AO211" si="188">IMARGUMENT(AM148)</f>
        <v>-0.00280326227753428</v>
      </c>
      <c r="AP148" s="30" t="str">
        <f t="shared" ref="AP148:AP211" si="189">(IMDIV(IMPRODUCT(AF148,AJ148,AM148),IMPRODUCT(AG148)))</f>
        <v>71,4726115897589-16,9930775402838i</v>
      </c>
      <c r="AQ148" s="32">
        <f t="shared" ref="AQ148:AQ211" si="190">20*LOG(IMABS(AP148))</f>
        <v>37.3216037577285</v>
      </c>
      <c r="AR148" s="31">
        <f t="shared" ref="AR148:AR211" si="191">(180/PI())*IMARGUMENT(AP148)</f>
        <v>-13.3741289733318</v>
      </c>
      <c r="AS148" t="str">
        <f t="shared" si="167"/>
        <v>-0,000338461538461538</v>
      </c>
      <c r="AT148" t="str">
        <f t="shared" si="168"/>
        <v>0,000219458247729629i</v>
      </c>
      <c r="AU148">
        <f t="shared" ref="AU148:AU211" si="192">IMABS(AT148)</f>
        <v>0.000219458247729629</v>
      </c>
      <c r="AV148">
        <f t="shared" ref="AV148:AV211" si="193">IMARGUMENT(AT148)</f>
        <v>1.5707963267949</v>
      </c>
      <c r="AW148" t="str">
        <f t="shared" si="169"/>
        <v>1+0,0356172611753929i</v>
      </c>
      <c r="AX148">
        <f t="shared" ref="AX148:AX211" si="194">IMABS(AW148)</f>
        <v>1.00063409360947</v>
      </c>
      <c r="AY148">
        <f t="shared" ref="AY148:AY211" si="195">IMARGUMENT(AW148)</f>
        <v>0.0356022114035223</v>
      </c>
      <c r="AZ148" t="str">
        <f t="shared" si="170"/>
        <v>1+0,310907750962264i</v>
      </c>
      <c r="BA148">
        <f t="shared" ref="BA148:BA211" si="196">IMABS(AZ148)</f>
        <v>1.04721708809989</v>
      </c>
      <c r="BB148">
        <f t="shared" ref="BB148:BB211" si="197">IMARGUMENT(AZ148)</f>
        <v>0.301433621658981</v>
      </c>
      <c r="BC148" s="30" t="str">
        <f t="shared" ref="BC148:BC211" si="198">IMPRODUCT(AS148,IMDIV(AZ148,IMPRODUCT(AT148,AW148)))</f>
        <v>-0,424031415101383+1,55736220572956i</v>
      </c>
      <c r="BD148" s="32">
        <f t="shared" ref="BD148:BD211" si="199">20*LOG(IMABS(BC148))</f>
        <v>4.15837682223214</v>
      </c>
      <c r="BE148" s="31">
        <f t="shared" ref="BE148:BE211" si="200">(180/PI())*IMARGUMENT(BC148)</f>
        <v>105.231017869649</v>
      </c>
      <c r="BF148" s="30" t="str">
        <f t="shared" ref="BF148:BF211" si="201">IMPRODUCT(AC148,BC148)</f>
        <v>2,44177138867271+22,6124629500551i</v>
      </c>
      <c r="BG148" s="68">
        <f t="shared" ref="BG148:BG211" si="202">20*LOG(IMABS(BF148))</f>
        <v>27.1373049646971</v>
      </c>
      <c r="BH148" s="31">
        <f t="shared" ref="BH148:BH211" si="203">(180/PI())*IMARGUMENT(BF148)</f>
        <v>83.8368858070679</v>
      </c>
      <c r="BI148" s="30" t="str">
        <f t="shared" si="156"/>
        <v>-3,84225591312715+118,514342751013i</v>
      </c>
      <c r="BJ148" s="68">
        <f t="shared" ref="BJ148:BJ211" si="204">20*LOG(IMABS(BI148))</f>
        <v>41.4799805799607</v>
      </c>
      <c r="BK148" s="31">
        <f t="shared" si="157"/>
        <v>91.8568888963167</v>
      </c>
      <c r="BL148" s="32">
        <f t="shared" ref="BL148:BL211" si="205">IF($B$31=0,BJ148,BG148)</f>
        <v>27.1373049646971</v>
      </c>
      <c r="BM148" s="31">
        <f t="shared" ref="BM148:BM211" si="206">IF($B$31=0,BK148,BH148)</f>
        <v>83.8368858070679</v>
      </c>
      <c r="BO148">
        <f t="shared" ref="BO148:BO211" si="207">SUM((BL149&lt;0)*(BL148&gt;0))*O148</f>
        <v>0</v>
      </c>
      <c r="BP148">
        <f t="shared" ref="BP148:BP211" si="208">IF(BO148&gt;0,BM148,0)</f>
        <v>0</v>
      </c>
    </row>
    <row r="149" spans="14:68">
      <c r="N149" s="7">
        <v>31</v>
      </c>
      <c r="O149" s="18">
        <f t="shared" si="158"/>
        <v>204.173794466953</v>
      </c>
      <c r="P149" s="86" t="str">
        <f t="shared" si="159"/>
        <v>15</v>
      </c>
      <c r="Q149" s="4" t="str">
        <f t="shared" si="160"/>
        <v>1+0,374168020772542i</v>
      </c>
      <c r="R149" s="4">
        <f t="shared" si="171"/>
        <v>1.06770862493886</v>
      </c>
      <c r="S149" s="4">
        <f t="shared" si="172"/>
        <v>0.358041064386796</v>
      </c>
      <c r="T149" s="4" t="str">
        <f t="shared" si="161"/>
        <v>1+0,000256572357101172i</v>
      </c>
      <c r="U149" s="4">
        <f t="shared" si="173"/>
        <v>1.00000003291469</v>
      </c>
      <c r="V149" s="4">
        <f t="shared" si="174"/>
        <v>0.000256572351471173</v>
      </c>
      <c r="W149" t="str">
        <f t="shared" si="162"/>
        <v>1-0,0224500812463526i</v>
      </c>
      <c r="X149" s="4">
        <f t="shared" si="175"/>
        <v>1.00025197132921</v>
      </c>
      <c r="Y149" s="4">
        <f t="shared" si="176"/>
        <v>-0.0224463107268491</v>
      </c>
      <c r="Z149" t="str">
        <f t="shared" si="163"/>
        <v>0,999999703559549+0,00119122880082687i</v>
      </c>
      <c r="AA149" s="4">
        <f t="shared" si="177"/>
        <v>1.00000041307254</v>
      </c>
      <c r="AB149" s="4">
        <f t="shared" si="178"/>
        <v>0.00119122859049379</v>
      </c>
      <c r="AC149" s="67" t="str">
        <f t="shared" si="179"/>
        <v>13,0424592257718-5,23084193431478i</v>
      </c>
      <c r="AD149" s="68">
        <f t="shared" si="180"/>
        <v>22.9549551793001</v>
      </c>
      <c r="AE149" s="31">
        <f t="shared" si="181"/>
        <v>-21.8538726098143</v>
      </c>
      <c r="AF149" s="32" t="str">
        <f t="shared" si="182"/>
        <v>75,4669735059805</v>
      </c>
      <c r="AG149" s="32" t="str">
        <f t="shared" si="164"/>
        <v>1+0,240536584782349i</v>
      </c>
      <c r="AH149" s="32">
        <f t="shared" si="183"/>
        <v>1.02852216729575</v>
      </c>
      <c r="AI149" s="32">
        <f t="shared" si="184"/>
        <v>0.236052279705526</v>
      </c>
      <c r="AJ149" s="32" t="str">
        <f t="shared" si="165"/>
        <v>1+0,000256572357101172i</v>
      </c>
      <c r="AK149" s="32">
        <f t="shared" si="185"/>
        <v>1.00000003291469</v>
      </c>
      <c r="AL149" s="32">
        <f t="shared" si="186"/>
        <v>0.000256572351471173</v>
      </c>
      <c r="AM149" s="32" t="str">
        <f t="shared" si="166"/>
        <v>1-0,00286856615812786i</v>
      </c>
      <c r="AN149" s="32">
        <f t="shared" si="187"/>
        <v>1.00000411432744</v>
      </c>
      <c r="AO149" s="32">
        <f t="shared" si="188"/>
        <v>-0.00286855829000355</v>
      </c>
      <c r="AP149" s="30" t="str">
        <f t="shared" si="189"/>
        <v>71,2946590626333-17,3460930711276i</v>
      </c>
      <c r="AQ149" s="32">
        <f t="shared" si="190"/>
        <v>37.3109015682879</v>
      </c>
      <c r="AR149" s="31">
        <f t="shared" si="191"/>
        <v>-13.6744551419936</v>
      </c>
      <c r="AS149" t="str">
        <f t="shared" si="167"/>
        <v>-0,000338461538461538</v>
      </c>
      <c r="AT149" t="str">
        <f t="shared" si="168"/>
        <v>0,000224570086999944i</v>
      </c>
      <c r="AU149">
        <f t="shared" si="192"/>
        <v>0.000224570086999944</v>
      </c>
      <c r="AV149">
        <f t="shared" si="193"/>
        <v>1.5707963267949</v>
      </c>
      <c r="AW149" t="str">
        <f t="shared" si="169"/>
        <v>1+0,0364468937650128i</v>
      </c>
      <c r="AX149">
        <f t="shared" si="194"/>
        <v>1.00066396760607</v>
      </c>
      <c r="AY149">
        <f t="shared" si="195"/>
        <v>0.0364307682217592</v>
      </c>
      <c r="AZ149" t="str">
        <f t="shared" si="170"/>
        <v>1+0,318149722805453i</v>
      </c>
      <c r="BA149">
        <f t="shared" si="196"/>
        <v>1.04938993997522</v>
      </c>
      <c r="BB149">
        <f t="shared" si="197"/>
        <v>0.308023635983981</v>
      </c>
      <c r="BC149" s="30" t="str">
        <f t="shared" si="198"/>
        <v>-0,424006097263671+1,52260696402977i</v>
      </c>
      <c r="BD149" s="32">
        <f t="shared" si="199"/>
        <v>3.9761210331287</v>
      </c>
      <c r="BE149" s="31">
        <f t="shared" si="200"/>
        <v>105.56112506863</v>
      </c>
      <c r="BF149" s="30" t="str">
        <f t="shared" si="201"/>
        <v>2,43443412188657+22,0764481192064i</v>
      </c>
      <c r="BG149" s="68">
        <f t="shared" si="202"/>
        <v>26.9310762124288</v>
      </c>
      <c r="BH149" s="31">
        <f t="shared" si="203"/>
        <v>83.7072524588156</v>
      </c>
      <c r="BI149" s="30" t="str">
        <f t="shared" si="156"/>
        <v>-3,81808803608374+115,908593612755i</v>
      </c>
      <c r="BJ149" s="68">
        <f t="shared" si="204"/>
        <v>41.2870226014166</v>
      </c>
      <c r="BK149" s="31">
        <f t="shared" si="157"/>
        <v>91.8866699266363</v>
      </c>
      <c r="BL149" s="32">
        <f t="shared" si="205"/>
        <v>26.9310762124288</v>
      </c>
      <c r="BM149" s="31">
        <f t="shared" si="206"/>
        <v>83.7072524588156</v>
      </c>
      <c r="BO149">
        <f t="shared" si="207"/>
        <v>0</v>
      </c>
      <c r="BP149">
        <f t="shared" si="208"/>
        <v>0</v>
      </c>
    </row>
    <row r="150" spans="14:68">
      <c r="N150" s="7">
        <v>32</v>
      </c>
      <c r="O150" s="18">
        <f t="shared" si="158"/>
        <v>208.929613085404</v>
      </c>
      <c r="P150" s="86" t="str">
        <f t="shared" si="159"/>
        <v>15</v>
      </c>
      <c r="Q150" s="4" t="str">
        <f t="shared" si="160"/>
        <v>1+0,382883513592104i</v>
      </c>
      <c r="R150" s="4">
        <f t="shared" si="171"/>
        <v>1.07079399745265</v>
      </c>
      <c r="S150" s="4">
        <f t="shared" si="172"/>
        <v>0.36566426724626</v>
      </c>
      <c r="T150" s="4" t="str">
        <f t="shared" si="161"/>
        <v>1+0,000262548695034586i</v>
      </c>
      <c r="U150" s="4">
        <f t="shared" si="173"/>
        <v>1.00000003446591</v>
      </c>
      <c r="V150" s="4">
        <f t="shared" si="174"/>
        <v>0.000262548689001933</v>
      </c>
      <c r="W150" t="str">
        <f t="shared" si="162"/>
        <v>1-0,0229730108155263i</v>
      </c>
      <c r="X150" s="4">
        <f t="shared" si="175"/>
        <v>1.00026384480592</v>
      </c>
      <c r="Y150" s="4">
        <f t="shared" si="176"/>
        <v>-0.0229689706886426</v>
      </c>
      <c r="Z150" t="str">
        <f t="shared" si="163"/>
        <v>0,999999689588742+0,00121897608408915i</v>
      </c>
      <c r="AA150" s="4">
        <f t="shared" si="177"/>
        <v>1.00000043254004</v>
      </c>
      <c r="AB150" s="4">
        <f t="shared" si="178"/>
        <v>0.00121897585871319</v>
      </c>
      <c r="AC150" s="67" t="str">
        <f t="shared" si="179"/>
        <v>12,9619986759238-5,32187686331031i</v>
      </c>
      <c r="AD150" s="68">
        <f t="shared" si="180"/>
        <v>22.9299945881117</v>
      </c>
      <c r="AE150" s="31">
        <f t="shared" si="181"/>
        <v>-22.3218435524096</v>
      </c>
      <c r="AF150" s="32" t="str">
        <f t="shared" si="182"/>
        <v>75,4669735059805</v>
      </c>
      <c r="AG150" s="32" t="str">
        <f t="shared" si="164"/>
        <v>1+0,246139401594925i</v>
      </c>
      <c r="AH150" s="32">
        <f t="shared" si="183"/>
        <v>1.02984688425878</v>
      </c>
      <c r="AI150" s="32">
        <f t="shared" si="184"/>
        <v>0.241341871189991</v>
      </c>
      <c r="AJ150" s="32" t="str">
        <f t="shared" si="165"/>
        <v>1+0,000262548695034586i</v>
      </c>
      <c r="AK150" s="32">
        <f t="shared" si="185"/>
        <v>1.00000003446591</v>
      </c>
      <c r="AL150" s="32">
        <f t="shared" si="186"/>
        <v>0.000262548689001933</v>
      </c>
      <c r="AM150" s="32" t="str">
        <f t="shared" si="166"/>
        <v>1-0,00293538364750598i</v>
      </c>
      <c r="AN150" s="32">
        <f t="shared" si="187"/>
        <v>1.0000043082293</v>
      </c>
      <c r="AO150" s="32">
        <f t="shared" si="188"/>
        <v>-0.00293537521666085</v>
      </c>
      <c r="AP150" s="30" t="str">
        <f t="shared" si="189"/>
        <v>71,1092564829649-17,704500603121i</v>
      </c>
      <c r="AQ150" s="32">
        <f t="shared" si="190"/>
        <v>37.2997232038447</v>
      </c>
      <c r="AR150" s="31">
        <f t="shared" si="191"/>
        <v>-13.9810123183819</v>
      </c>
      <c r="AS150" t="str">
        <f t="shared" si="167"/>
        <v>-0,000338461538461538</v>
      </c>
      <c r="AT150" t="str">
        <f t="shared" si="168"/>
        <v>0,000229800996302921i</v>
      </c>
      <c r="AU150">
        <f t="shared" si="192"/>
        <v>0.000229800996302921</v>
      </c>
      <c r="AV150">
        <f t="shared" si="193"/>
        <v>1.5707963267949</v>
      </c>
      <c r="AW150" t="str">
        <f t="shared" si="169"/>
        <v>1+0,0372958509801389i</v>
      </c>
      <c r="AX150">
        <f t="shared" si="194"/>
        <v>1.00069524856488</v>
      </c>
      <c r="AY150">
        <f t="shared" si="195"/>
        <v>0.0372785727975317</v>
      </c>
      <c r="AZ150" t="str">
        <f t="shared" si="170"/>
        <v>1+0,325560381842887i</v>
      </c>
      <c r="BA150">
        <f t="shared" si="196"/>
        <v>1.0516603835011</v>
      </c>
      <c r="BB150">
        <f t="shared" si="197"/>
        <v>0.314738661776226</v>
      </c>
      <c r="BC150" s="30" t="str">
        <f t="shared" si="198"/>
        <v>-0,42397958947325+1,48865894181784i</v>
      </c>
      <c r="BD150" s="32">
        <f t="shared" si="199"/>
        <v>3.79462186807966</v>
      </c>
      <c r="BE150" s="31">
        <f t="shared" si="200"/>
        <v>105.897292081803</v>
      </c>
      <c r="BF150" s="30" t="str">
        <f t="shared" si="201"/>
        <v>2,42683670244939+21,5523624004785i</v>
      </c>
      <c r="BG150" s="68">
        <f t="shared" si="202"/>
        <v>26.7246164561914</v>
      </c>
      <c r="BH150" s="31">
        <f t="shared" si="203"/>
        <v>83.5754485293938</v>
      </c>
      <c r="BI150" s="30" t="str">
        <f t="shared" si="156"/>
        <v>-3,79291023814008+113,363777406924i</v>
      </c>
      <c r="BJ150" s="68">
        <f t="shared" si="204"/>
        <v>41.0943450719244</v>
      </c>
      <c r="BK150" s="31">
        <f t="shared" si="157"/>
        <v>91.9162797634215</v>
      </c>
      <c r="BL150" s="32">
        <f t="shared" si="205"/>
        <v>26.7246164561914</v>
      </c>
      <c r="BM150" s="31">
        <f t="shared" si="206"/>
        <v>83.5754485293938</v>
      </c>
      <c r="BO150">
        <f t="shared" si="207"/>
        <v>0</v>
      </c>
      <c r="BP150">
        <f t="shared" si="208"/>
        <v>0</v>
      </c>
    </row>
    <row r="151" spans="14:68">
      <c r="N151" s="7">
        <v>33</v>
      </c>
      <c r="O151" s="18">
        <f t="shared" si="158"/>
        <v>213.796208950223</v>
      </c>
      <c r="P151" s="86" t="str">
        <f t="shared" si="159"/>
        <v>15</v>
      </c>
      <c r="Q151" s="4" t="str">
        <f t="shared" si="160"/>
        <v>1+0,391802016318632i</v>
      </c>
      <c r="R151" s="4">
        <f t="shared" si="171"/>
        <v>1.0740152792169</v>
      </c>
      <c r="S151" s="4">
        <f t="shared" si="172"/>
        <v>0.373419233542697</v>
      </c>
      <c r="T151" s="4" t="str">
        <f t="shared" si="161"/>
        <v>1+0,000268664239761348i</v>
      </c>
      <c r="U151" s="4">
        <f t="shared" si="173"/>
        <v>1.00000003609024</v>
      </c>
      <c r="V151" s="4">
        <f t="shared" si="174"/>
        <v>0.000268664233297244</v>
      </c>
      <c r="W151" t="str">
        <f t="shared" si="162"/>
        <v>1-0,023508120979118i</v>
      </c>
      <c r="X151" s="4">
        <f t="shared" si="175"/>
        <v>1.0002762777113</v>
      </c>
      <c r="Y151" s="4">
        <f t="shared" si="176"/>
        <v>-0.0235037919697421</v>
      </c>
      <c r="Z151" t="str">
        <f t="shared" si="163"/>
        <v>0,99999967495951+0,00124736968460626i</v>
      </c>
      <c r="AA151" s="4">
        <f t="shared" si="177"/>
        <v>1.00000045292503</v>
      </c>
      <c r="AB151" s="4">
        <f t="shared" si="178"/>
        <v>0.00124736944311158</v>
      </c>
      <c r="AC151" s="67" t="str">
        <f t="shared" si="179"/>
        <v>12,8787327000853-5,41321550802631i</v>
      </c>
      <c r="AD151" s="68">
        <f t="shared" si="180"/>
        <v>22.9040117509661</v>
      </c>
      <c r="AE151" s="31">
        <f t="shared" si="181"/>
        <v>-22.798089831336</v>
      </c>
      <c r="AF151" s="32" t="str">
        <f t="shared" si="182"/>
        <v>75,4669735059805</v>
      </c>
      <c r="AG151" s="32" t="str">
        <f t="shared" si="164"/>
        <v>1+0,251872724776264i</v>
      </c>
      <c r="AH151" s="32">
        <f t="shared" si="183"/>
        <v>1.03123220929441</v>
      </c>
      <c r="AI151" s="32">
        <f t="shared" si="184"/>
        <v>0.246740449483048</v>
      </c>
      <c r="AJ151" s="32" t="str">
        <f t="shared" si="165"/>
        <v>1+0,000268664239761348i</v>
      </c>
      <c r="AK151" s="32">
        <f t="shared" si="185"/>
        <v>1.00000003609024</v>
      </c>
      <c r="AL151" s="32">
        <f t="shared" si="186"/>
        <v>0.000268664233297244</v>
      </c>
      <c r="AM151" s="32" t="str">
        <f t="shared" si="166"/>
        <v>1-0,00300375751614838i</v>
      </c>
      <c r="AN151" s="32">
        <f t="shared" si="187"/>
        <v>1.00000451126943</v>
      </c>
      <c r="AO151" s="32">
        <f t="shared" si="188"/>
        <v>-0.00300374848233726</v>
      </c>
      <c r="AP151" s="30" t="str">
        <f t="shared" si="189"/>
        <v>70,916135196088-18,0682494142661i</v>
      </c>
      <c r="AQ151" s="32">
        <f t="shared" si="190"/>
        <v>37.2880487850928</v>
      </c>
      <c r="AR151" s="31">
        <f t="shared" si="191"/>
        <v>-14.2938951746223</v>
      </c>
      <c r="AS151" t="str">
        <f t="shared" si="167"/>
        <v>-0,000338461538461538</v>
      </c>
      <c r="AT151" t="str">
        <f t="shared" si="168"/>
        <v>0,000235153749135915i</v>
      </c>
      <c r="AU151">
        <f t="shared" si="192"/>
        <v>0.000235153749135915</v>
      </c>
      <c r="AV151">
        <f t="shared" si="193"/>
        <v>1.5707963267949</v>
      </c>
      <c r="AW151" t="str">
        <f t="shared" si="169"/>
        <v>1+0,0381645829491234i</v>
      </c>
      <c r="AX151">
        <f t="shared" si="194"/>
        <v>1.00072800270187</v>
      </c>
      <c r="AY151">
        <f t="shared" si="195"/>
        <v>0.0381460697702343</v>
      </c>
      <c r="AZ151" t="str">
        <f t="shared" si="170"/>
        <v>1+0,333143657304071i</v>
      </c>
      <c r="BA151">
        <f t="shared" si="196"/>
        <v>1.05403258792218</v>
      </c>
      <c r="BB151">
        <f t="shared" si="197"/>
        <v>0.321579836257623</v>
      </c>
      <c r="BC151" s="30" t="str">
        <f t="shared" si="198"/>
        <v>-0,423951835961296+1,45550013320699i</v>
      </c>
      <c r="BD151" s="32">
        <f t="shared" si="199"/>
        <v>3.61390805482683</v>
      </c>
      <c r="BE151" s="31">
        <f t="shared" si="200"/>
        <v>106.239558591224</v>
      </c>
      <c r="BF151" s="30" t="str">
        <f t="shared" si="201"/>
        <v>2,4189735199545+21,0399398135933i</v>
      </c>
      <c r="BG151" s="68">
        <f t="shared" si="202"/>
        <v>26.517919805793</v>
      </c>
      <c r="BH151" s="31">
        <f t="shared" si="203"/>
        <v>83.4414687598878</v>
      </c>
      <c r="BI151" s="30" t="str">
        <f t="shared" si="156"/>
        <v>-3,76668628637957+110,878511736216i</v>
      </c>
      <c r="BJ151" s="68">
        <f t="shared" si="204"/>
        <v>40.9019568399197</v>
      </c>
      <c r="BK151" s="31">
        <f t="shared" si="157"/>
        <v>91.9456634166015</v>
      </c>
      <c r="BL151" s="32">
        <f t="shared" si="205"/>
        <v>26.517919805793</v>
      </c>
      <c r="BM151" s="31">
        <f t="shared" si="206"/>
        <v>83.4414687598878</v>
      </c>
      <c r="BO151">
        <f t="shared" si="207"/>
        <v>0</v>
      </c>
      <c r="BP151">
        <f t="shared" si="208"/>
        <v>0</v>
      </c>
    </row>
    <row r="152" spans="14:68">
      <c r="N152" s="7">
        <v>34</v>
      </c>
      <c r="O152" s="18">
        <f t="shared" si="158"/>
        <v>218.776162394955</v>
      </c>
      <c r="P152" s="86" t="str">
        <f t="shared" si="159"/>
        <v>15</v>
      </c>
      <c r="Q152" s="4" t="str">
        <f t="shared" si="160"/>
        <v>1+0,400928257660327i</v>
      </c>
      <c r="R152" s="4">
        <f t="shared" si="171"/>
        <v>1.07737805239876</v>
      </c>
      <c r="S152" s="4">
        <f t="shared" si="172"/>
        <v>0.381306343002476</v>
      </c>
      <c r="T152" s="4" t="str">
        <f t="shared" si="161"/>
        <v>1+0,000274922233824224i</v>
      </c>
      <c r="U152" s="4">
        <f t="shared" si="173"/>
        <v>1.00000003779112</v>
      </c>
      <c r="V152" s="4">
        <f t="shared" si="174"/>
        <v>0.000274922226897812</v>
      </c>
      <c r="W152" t="str">
        <f t="shared" si="162"/>
        <v>1-0,0240556954596196i</v>
      </c>
      <c r="X152" s="4">
        <f t="shared" si="175"/>
        <v>1.00028929639582</v>
      </c>
      <c r="Y152" s="4">
        <f t="shared" si="176"/>
        <v>-0.0240510569149532</v>
      </c>
      <c r="Z152" t="str">
        <f t="shared" si="163"/>
        <v>0,999999659640823+0,00127642465704104i</v>
      </c>
      <c r="AA152" s="4">
        <f t="shared" si="177"/>
        <v>1.00000047427072</v>
      </c>
      <c r="AB152" s="4">
        <f t="shared" si="178"/>
        <v>0.00127642439827483</v>
      </c>
      <c r="AC152" s="67" t="str">
        <f t="shared" si="179"/>
        <v>12,7926049343098-5,50477442418908i</v>
      </c>
      <c r="AD152" s="68">
        <f t="shared" si="180"/>
        <v>22.8769713400073</v>
      </c>
      <c r="AE152" s="31">
        <f t="shared" si="181"/>
        <v>-23.2826500572585</v>
      </c>
      <c r="AF152" s="32" t="str">
        <f t="shared" si="182"/>
        <v>75,4669735059805</v>
      </c>
      <c r="AG152" s="32" t="str">
        <f t="shared" si="164"/>
        <v>1+0,25773959421021i</v>
      </c>
      <c r="AH152" s="32">
        <f t="shared" si="183"/>
        <v>1.032680830859</v>
      </c>
      <c r="AI152" s="32">
        <f t="shared" si="184"/>
        <v>0.252249617725506</v>
      </c>
      <c r="AJ152" s="32" t="str">
        <f t="shared" si="165"/>
        <v>1+0,000274922233824224i</v>
      </c>
      <c r="AK152" s="32">
        <f t="shared" si="185"/>
        <v>1.00000003779112</v>
      </c>
      <c r="AL152" s="32">
        <f t="shared" si="186"/>
        <v>0.000274922226897812</v>
      </c>
      <c r="AM152" s="32" t="str">
        <f t="shared" si="166"/>
        <v>1-0,00307372401678528i</v>
      </c>
      <c r="AN152" s="32">
        <f t="shared" si="187"/>
        <v>1.00000472387851</v>
      </c>
      <c r="AO152" s="32">
        <f t="shared" si="188"/>
        <v>-0.00307371433688474</v>
      </c>
      <c r="AP152" s="30" t="str">
        <f t="shared" si="189"/>
        <v>70,7150207651259-18,4372778565733i</v>
      </c>
      <c r="AQ152" s="32">
        <f t="shared" si="190"/>
        <v>37.275857720926</v>
      </c>
      <c r="AR152" s="31">
        <f t="shared" si="191"/>
        <v>-14.6131974550966</v>
      </c>
      <c r="AS152" t="str">
        <f t="shared" si="167"/>
        <v>-0,000338461538461538</v>
      </c>
      <c r="AT152" t="str">
        <f t="shared" si="168"/>
        <v>0,000240631183599328i</v>
      </c>
      <c r="AU152">
        <f t="shared" si="192"/>
        <v>0.000240631183599328</v>
      </c>
      <c r="AV152">
        <f t="shared" si="193"/>
        <v>1.5707963267949</v>
      </c>
      <c r="AW152" t="str">
        <f t="shared" si="169"/>
        <v>1+0,0390535502851555i</v>
      </c>
      <c r="AX152">
        <f t="shared" si="194"/>
        <v>1.00076229934479</v>
      </c>
      <c r="AY152">
        <f t="shared" si="195"/>
        <v>0.0390337138725786</v>
      </c>
      <c r="AZ152" t="str">
        <f t="shared" si="170"/>
        <v>1+0,340903569942038i</v>
      </c>
      <c r="BA152">
        <f t="shared" si="196"/>
        <v>1.05651088210166</v>
      </c>
      <c r="BB152">
        <f t="shared" si="197"/>
        <v>0.328548224410666</v>
      </c>
      <c r="BC152" s="30" t="str">
        <f t="shared" si="198"/>
        <v>-0,423922778360721+1,42311295032098i</v>
      </c>
      <c r="BD152" s="32">
        <f t="shared" si="199"/>
        <v>3.43400910639968</v>
      </c>
      <c r="BE152" s="31">
        <f t="shared" si="200"/>
        <v>106.587959561628</v>
      </c>
      <c r="BF152" s="30" t="str">
        <f t="shared" si="201"/>
        <v>2,41083914543552+20,5389210185076i</v>
      </c>
      <c r="BG152" s="68">
        <f t="shared" si="202"/>
        <v>26.310980446407</v>
      </c>
      <c r="BH152" s="31">
        <f t="shared" si="203"/>
        <v>83.3053095043696</v>
      </c>
      <c r="BI152" s="30" t="str">
        <f t="shared" si="156"/>
        <v>-3,73937918823255+108,451443887435i</v>
      </c>
      <c r="BJ152" s="68">
        <f t="shared" si="204"/>
        <v>40.7098668273257</v>
      </c>
      <c r="BK152" s="31">
        <f t="shared" si="157"/>
        <v>91.9747621065315</v>
      </c>
      <c r="BL152" s="32">
        <f t="shared" si="205"/>
        <v>26.310980446407</v>
      </c>
      <c r="BM152" s="31">
        <f t="shared" si="206"/>
        <v>83.3053095043696</v>
      </c>
      <c r="BO152">
        <f t="shared" si="207"/>
        <v>0</v>
      </c>
      <c r="BP152">
        <f t="shared" si="208"/>
        <v>0</v>
      </c>
    </row>
    <row r="153" spans="14:68">
      <c r="N153" s="7">
        <v>35</v>
      </c>
      <c r="O153" s="18">
        <f t="shared" si="158"/>
        <v>223.872113856834</v>
      </c>
      <c r="P153" s="86" t="str">
        <f t="shared" si="159"/>
        <v>15</v>
      </c>
      <c r="Q153" s="4" t="str">
        <f t="shared" si="160"/>
        <v>1+0,410267076471146i</v>
      </c>
      <c r="R153" s="4">
        <f t="shared" si="171"/>
        <v>1.08088809505711</v>
      </c>
      <c r="S153" s="4">
        <f t="shared" si="172"/>
        <v>0.389325851406494</v>
      </c>
      <c r="T153" s="4" t="str">
        <f t="shared" si="161"/>
        <v>1+0,0002813259952945i</v>
      </c>
      <c r="U153" s="4">
        <f t="shared" si="173"/>
        <v>1.00000003957216</v>
      </c>
      <c r="V153" s="4">
        <f t="shared" si="174"/>
        <v>0.000281325987872716</v>
      </c>
      <c r="W153" t="str">
        <f t="shared" si="162"/>
        <v>1-0,0246160245882688i</v>
      </c>
      <c r="X153" s="4">
        <f t="shared" si="175"/>
        <v>1.00030292845044</v>
      </c>
      <c r="Y153" s="4">
        <f t="shared" si="176"/>
        <v>-0.0246110543794004</v>
      </c>
      <c r="Z153" t="str">
        <f t="shared" si="163"/>
        <v>0,999999643600189+0,00130615640672446i</v>
      </c>
      <c r="AA153" s="4">
        <f t="shared" si="177"/>
        <v>1.00000049662241</v>
      </c>
      <c r="AB153" s="4">
        <f t="shared" si="178"/>
        <v>0.00130615612945148</v>
      </c>
      <c r="AC153" s="67" t="str">
        <f t="shared" si="179"/>
        <v>12,7035613504413-5,59646542458474i</v>
      </c>
      <c r="AD153" s="68">
        <f t="shared" si="180"/>
        <v>22.8488373452126</v>
      </c>
      <c r="AE153" s="31">
        <f t="shared" si="181"/>
        <v>-23.7755561280664</v>
      </c>
      <c r="AF153" s="32" t="str">
        <f t="shared" si="182"/>
        <v>75,4669735059805</v>
      </c>
      <c r="AG153" s="32" t="str">
        <f t="shared" si="164"/>
        <v>1+0,263743120588594i</v>
      </c>
      <c r="AH153" s="32">
        <f t="shared" si="183"/>
        <v>1.03419554904177</v>
      </c>
      <c r="AI153" s="32">
        <f t="shared" si="184"/>
        <v>0.257870958718705</v>
      </c>
      <c r="AJ153" s="32" t="str">
        <f t="shared" si="165"/>
        <v>1+0,0002813259952945i</v>
      </c>
      <c r="AK153" s="32">
        <f t="shared" si="185"/>
        <v>1.00000003957216</v>
      </c>
      <c r="AL153" s="32">
        <f t="shared" si="186"/>
        <v>0.000281325987872716</v>
      </c>
      <c r="AM153" s="32" t="str">
        <f t="shared" si="166"/>
        <v>1-0,00314532024658144i</v>
      </c>
      <c r="AN153" s="32">
        <f t="shared" si="187"/>
        <v>1.00000494650749</v>
      </c>
      <c r="AO153" s="32">
        <f t="shared" si="188"/>
        <v>-0.00314530987438391</v>
      </c>
      <c r="AP153" s="30" t="str">
        <f t="shared" si="189"/>
        <v>70,5056332204528-18,8115127029202i</v>
      </c>
      <c r="AQ153" s="32">
        <f t="shared" si="190"/>
        <v>37.2631286936046</v>
      </c>
      <c r="AR153" s="31">
        <f t="shared" si="191"/>
        <v>-14.9390117828646</v>
      </c>
      <c r="AS153" t="str">
        <f t="shared" si="167"/>
        <v>-0,000338461538461538</v>
      </c>
      <c r="AT153" t="str">
        <f t="shared" si="168"/>
        <v>0,000246236203901416i</v>
      </c>
      <c r="AU153">
        <f t="shared" si="192"/>
        <v>0.000246236203901416</v>
      </c>
      <c r="AV153">
        <f t="shared" si="193"/>
        <v>1.5707963267949</v>
      </c>
      <c r="AW153" t="str">
        <f t="shared" si="169"/>
        <v>1+0,0399632243304838i</v>
      </c>
      <c r="AX153">
        <f t="shared" si="194"/>
        <v>1.00079821107898</v>
      </c>
      <c r="AY153">
        <f t="shared" si="195"/>
        <v>0.0399419701469409</v>
      </c>
      <c r="AZ153" t="str">
        <f t="shared" si="170"/>
        <v>1+0,34884423416518i</v>
      </c>
      <c r="BA153">
        <f t="shared" si="196"/>
        <v>1.05909975909274</v>
      </c>
      <c r="BB153">
        <f t="shared" si="197"/>
        <v>0.335644813077388</v>
      </c>
      <c r="BC153" s="30" t="str">
        <f t="shared" si="198"/>
        <v>-0,42389235558653+1,39148021393741i</v>
      </c>
      <c r="BD153" s="32">
        <f t="shared" si="199"/>
        <v>3.25495531603568</v>
      </c>
      <c r="BE153" s="31">
        <f t="shared" si="200"/>
        <v>106.942524889935</v>
      </c>
      <c r="BF153" s="30" t="str">
        <f t="shared" si="201"/>
        <v>2,40242836111793+20,0490531774649i</v>
      </c>
      <c r="BG153" s="68">
        <f t="shared" si="202"/>
        <v>26.1037926612483</v>
      </c>
      <c r="BH153" s="31">
        <f t="shared" si="203"/>
        <v>83.1669687618681</v>
      </c>
      <c r="BI153" s="30" t="str">
        <f t="shared" si="156"/>
        <v>-3,71095122759193+106,081250029175i</v>
      </c>
      <c r="BJ153" s="68">
        <f t="shared" si="204"/>
        <v>40.5180840096403</v>
      </c>
      <c r="BK153" s="31">
        <f t="shared" si="157"/>
        <v>92.0035131070699</v>
      </c>
      <c r="BL153" s="32">
        <f t="shared" si="205"/>
        <v>26.1037926612483</v>
      </c>
      <c r="BM153" s="31">
        <f t="shared" si="206"/>
        <v>83.1669687618681</v>
      </c>
      <c r="BO153">
        <f t="shared" si="207"/>
        <v>0</v>
      </c>
      <c r="BP153">
        <f t="shared" si="208"/>
        <v>0</v>
      </c>
    </row>
    <row r="154" spans="14:68">
      <c r="N154" s="7">
        <v>36</v>
      </c>
      <c r="O154" s="18">
        <f t="shared" si="158"/>
        <v>229.086765276777</v>
      </c>
      <c r="P154" s="86" t="str">
        <f t="shared" si="159"/>
        <v>15</v>
      </c>
      <c r="Q154" s="4" t="str">
        <f t="shared" si="160"/>
        <v>1+0,419823424316435i</v>
      </c>
      <c r="R154" s="4">
        <f t="shared" si="171"/>
        <v>1.08455138541462</v>
      </c>
      <c r="S154" s="4">
        <f t="shared" si="172"/>
        <v>0.397477883723335</v>
      </c>
      <c r="T154" s="4" t="str">
        <f t="shared" si="161"/>
        <v>1+0,00028787891953127i</v>
      </c>
      <c r="U154" s="4">
        <f t="shared" si="173"/>
        <v>1.00000004143714</v>
      </c>
      <c r="V154" s="4">
        <f t="shared" si="174"/>
        <v>0.000287878911578685</v>
      </c>
      <c r="W154" t="str">
        <f t="shared" si="162"/>
        <v>1-0,0251894054589861i</v>
      </c>
      <c r="X154" s="4">
        <f t="shared" si="175"/>
        <v>1.00031720276489</v>
      </c>
      <c r="Y154" s="4">
        <f t="shared" si="176"/>
        <v>-0.0251840798754376</v>
      </c>
      <c r="Z154" t="str">
        <f t="shared" si="163"/>
        <v>0,999999626803584+0,00133658069782375i</v>
      </c>
      <c r="AA154" s="4">
        <f t="shared" si="177"/>
        <v>1.0000005200275</v>
      </c>
      <c r="AB154" s="4">
        <f t="shared" si="178"/>
        <v>0.0013365804007204</v>
      </c>
      <c r="AC154" s="67" t="str">
        <f t="shared" si="179"/>
        <v>12,6115505921119-5,68819556072954i</v>
      </c>
      <c r="AD154" s="68">
        <f t="shared" si="180"/>
        <v>22.8195731062971</v>
      </c>
      <c r="AE154" s="31">
        <f t="shared" si="181"/>
        <v>-24.2768328442186</v>
      </c>
      <c r="AF154" s="32" t="str">
        <f t="shared" si="182"/>
        <v>75,4669735059805</v>
      </c>
      <c r="AG154" s="32" t="str">
        <f t="shared" si="164"/>
        <v>1+0,269886487060566i</v>
      </c>
      <c r="AH154" s="32">
        <f t="shared" si="183"/>
        <v>1.0357792795272</v>
      </c>
      <c r="AI154" s="32">
        <f t="shared" si="184"/>
        <v>0.263606031328967</v>
      </c>
      <c r="AJ154" s="32" t="str">
        <f t="shared" si="165"/>
        <v>1+0,00028787891953127i</v>
      </c>
      <c r="AK154" s="32">
        <f t="shared" si="185"/>
        <v>1.00000004143714</v>
      </c>
      <c r="AL154" s="32">
        <f t="shared" si="186"/>
        <v>0.000287878911578685</v>
      </c>
      <c r="AM154" s="32" t="str">
        <f t="shared" si="166"/>
        <v>1-0,00321858416680556i</v>
      </c>
      <c r="AN154" s="32">
        <f t="shared" si="187"/>
        <v>1.00000517962861</v>
      </c>
      <c r="AO154" s="32">
        <f t="shared" si="188"/>
        <v>-0.00321857305279878</v>
      </c>
      <c r="AP154" s="30" t="str">
        <f t="shared" si="189"/>
        <v>70,287687353494-19,1908684786958i</v>
      </c>
      <c r="AQ154" s="32">
        <f t="shared" si="190"/>
        <v>37.2498396446335</v>
      </c>
      <c r="AR154" s="31">
        <f t="shared" si="191"/>
        <v>-15.2714294546788</v>
      </c>
      <c r="AS154" t="str">
        <f t="shared" si="167"/>
        <v>-0,000338461538461538</v>
      </c>
      <c r="AT154" t="str">
        <f t="shared" si="168"/>
        <v>0,000251971781898134i</v>
      </c>
      <c r="AU154">
        <f t="shared" si="192"/>
        <v>0.000251971781898134</v>
      </c>
      <c r="AV154">
        <f t="shared" si="193"/>
        <v>1.5707963267949</v>
      </c>
      <c r="AW154" t="str">
        <f t="shared" si="169"/>
        <v>1+0,0408940874063278i</v>
      </c>
      <c r="AX154">
        <f t="shared" si="194"/>
        <v>1.00083581389996</v>
      </c>
      <c r="AY154">
        <f t="shared" si="195"/>
        <v>0.040871314165422</v>
      </c>
      <c r="AZ154" t="str">
        <f t="shared" si="170"/>
        <v>1+0,356969860218775i</v>
      </c>
      <c r="BA154">
        <f t="shared" si="196"/>
        <v>1.0618038807165</v>
      </c>
      <c r="BB154">
        <f t="shared" si="197"/>
        <v>0.342870504878055</v>
      </c>
      <c r="BC154" s="30" t="str">
        <f t="shared" si="198"/>
        <v>-0,423860503710918+1,36058514434564i</v>
      </c>
      <c r="BD154" s="32">
        <f t="shared" si="199"/>
        <v>3.07677774933411</v>
      </c>
      <c r="BE154" s="31">
        <f t="shared" si="200"/>
        <v>107.3032790442</v>
      </c>
      <c r="BF154" s="30" t="str">
        <f t="shared" si="201"/>
        <v>2,39373619151315+19,5700898183679i</v>
      </c>
      <c r="BG154" s="68">
        <f t="shared" si="202"/>
        <v>25.8963508556312</v>
      </c>
      <c r="BH154" s="31">
        <f t="shared" si="203"/>
        <v>83.0264461999818</v>
      </c>
      <c r="BI154" s="30" t="str">
        <f t="shared" si="156"/>
        <v>-3,68136400712297+103,766634423605i</v>
      </c>
      <c r="BJ154" s="68">
        <f t="shared" si="204"/>
        <v>40.3266173939676</v>
      </c>
      <c r="BK154" s="31">
        <f t="shared" si="157"/>
        <v>92.0318495895215</v>
      </c>
      <c r="BL154" s="32">
        <f t="shared" si="205"/>
        <v>25.8963508556312</v>
      </c>
      <c r="BM154" s="31">
        <f t="shared" si="206"/>
        <v>83.0264461999818</v>
      </c>
      <c r="BO154">
        <f t="shared" si="207"/>
        <v>0</v>
      </c>
      <c r="BP154">
        <f t="shared" si="208"/>
        <v>0</v>
      </c>
    </row>
    <row r="155" spans="14:68">
      <c r="N155" s="7">
        <v>37</v>
      </c>
      <c r="O155" s="18">
        <f t="shared" si="158"/>
        <v>234.422881531992</v>
      </c>
      <c r="P155" s="86" t="str">
        <f t="shared" si="159"/>
        <v>15</v>
      </c>
      <c r="Q155" s="4" t="str">
        <f t="shared" si="160"/>
        <v>1+0,429602368098315i</v>
      </c>
      <c r="R155" s="4">
        <f t="shared" si="171"/>
        <v>1.08837410602958</v>
      </c>
      <c r="S155" s="4">
        <f t="shared" si="172"/>
        <v>0.405762427231842</v>
      </c>
      <c r="T155" s="4" t="str">
        <f t="shared" si="161"/>
        <v>1+0,000294584480981702i</v>
      </c>
      <c r="U155" s="4">
        <f t="shared" si="173"/>
        <v>1.00000004339001</v>
      </c>
      <c r="V155" s="4">
        <f t="shared" si="174"/>
        <v>0.000294584472460354</v>
      </c>
      <c r="W155" t="str">
        <f t="shared" si="162"/>
        <v>1-0,0257761420858989i</v>
      </c>
      <c r="X155" s="4">
        <f t="shared" si="175"/>
        <v>1.00033214958874</v>
      </c>
      <c r="Y155" s="4">
        <f t="shared" si="176"/>
        <v>-0.0257704357226445</v>
      </c>
      <c r="Z155" t="str">
        <f t="shared" si="163"/>
        <v>0,999999609215379+0,00136771366170076i</v>
      </c>
      <c r="AA155" s="4">
        <f t="shared" si="177"/>
        <v>1.00000054453564</v>
      </c>
      <c r="AB155" s="4">
        <f t="shared" si="178"/>
        <v>0.0013677133433488</v>
      </c>
      <c r="AC155" s="67" t="str">
        <f t="shared" si="179"/>
        <v>12,5165243242451-5,77986712685781i</v>
      </c>
      <c r="AD155" s="68">
        <f t="shared" si="180"/>
        <v>22.7891413489436</v>
      </c>
      <c r="AE155" s="31">
        <f t="shared" si="181"/>
        <v>-24.7864975236649</v>
      </c>
      <c r="AF155" s="32" t="str">
        <f t="shared" si="182"/>
        <v>75,4669735059805</v>
      </c>
      <c r="AG155" s="32" t="str">
        <f t="shared" si="164"/>
        <v>1+0,276172950920346i</v>
      </c>
      <c r="AH155" s="32">
        <f t="shared" si="183"/>
        <v>1.03743505763978</v>
      </c>
      <c r="AI155" s="32">
        <f t="shared" si="184"/>
        <v>0.269456366688264</v>
      </c>
      <c r="AJ155" s="32" t="str">
        <f t="shared" si="165"/>
        <v>1+0,000294584480981702i</v>
      </c>
      <c r="AK155" s="32">
        <f t="shared" si="185"/>
        <v>1.00000004339001</v>
      </c>
      <c r="AL155" s="32">
        <f t="shared" si="186"/>
        <v>0.000294584472460354</v>
      </c>
      <c r="AM155" s="32" t="str">
        <f t="shared" si="166"/>
        <v>1-0,0032935546229579i</v>
      </c>
      <c r="AN155" s="32">
        <f t="shared" si="187"/>
        <v>1.00000542373632</v>
      </c>
      <c r="AO155" s="32">
        <f t="shared" si="188"/>
        <v>-0.00329354271408856</v>
      </c>
      <c r="AP155" s="30" t="str">
        <f t="shared" si="189"/>
        <v>70,0608930580265-19,5752467801997i</v>
      </c>
      <c r="AQ155" s="32">
        <f t="shared" si="190"/>
        <v>37.2359677614725</v>
      </c>
      <c r="AR155" s="31">
        <f t="shared" si="191"/>
        <v>-15.6105402243483</v>
      </c>
      <c r="AS155" t="str">
        <f t="shared" si="167"/>
        <v>-0,000338461538461538</v>
      </c>
      <c r="AT155" t="str">
        <f t="shared" si="168"/>
        <v>0,000257840958668855i</v>
      </c>
      <c r="AU155">
        <f t="shared" si="192"/>
        <v>0.000257840958668855</v>
      </c>
      <c r="AV155">
        <f t="shared" si="193"/>
        <v>1.5707963267949</v>
      </c>
      <c r="AW155" t="str">
        <f t="shared" si="169"/>
        <v>1+0,0418466330686116i</v>
      </c>
      <c r="AX155">
        <f t="shared" si="194"/>
        <v>1.00087518737312</v>
      </c>
      <c r="AY155">
        <f t="shared" si="195"/>
        <v>0.0418222322536115</v>
      </c>
      <c r="AZ155" t="str">
        <f t="shared" si="170"/>
        <v>1+0,36528475641731i</v>
      </c>
      <c r="BA155">
        <f t="shared" si="196"/>
        <v>1.06462808213519</v>
      </c>
      <c r="BB155">
        <f t="shared" si="197"/>
        <v>0.350226111961691</v>
      </c>
      <c r="BC155" s="30" t="str">
        <f t="shared" si="198"/>
        <v>-0,423827155832746+1,33041135241411i</v>
      </c>
      <c r="BD155" s="32">
        <f t="shared" si="199"/>
        <v>2.8995082334346</v>
      </c>
      <c r="BE155" s="31">
        <f t="shared" si="200"/>
        <v>107.670240692733</v>
      </c>
      <c r="BF155" s="30" t="str">
        <f t="shared" si="201"/>
        <v>2,38475793576057+19,1017906992104i</v>
      </c>
      <c r="BG155" s="68">
        <f t="shared" si="202"/>
        <v>25.6886495823782</v>
      </c>
      <c r="BH155" s="31">
        <f t="shared" si="203"/>
        <v>82.8837431690684</v>
      </c>
      <c r="BI155" s="30" t="str">
        <f t="shared" si="156"/>
        <v>-3,65057849720011+101,506328652246i</v>
      </c>
      <c r="BJ155" s="68">
        <f t="shared" si="204"/>
        <v>40.1354759949071</v>
      </c>
      <c r="BK155" s="31">
        <f t="shared" si="157"/>
        <v>92.0597004683849</v>
      </c>
      <c r="BL155" s="32">
        <f t="shared" si="205"/>
        <v>25.6886495823782</v>
      </c>
      <c r="BM155" s="31">
        <f t="shared" si="206"/>
        <v>82.8837431690684</v>
      </c>
      <c r="BO155">
        <f t="shared" si="207"/>
        <v>0</v>
      </c>
      <c r="BP155">
        <f t="shared" si="208"/>
        <v>0</v>
      </c>
    </row>
    <row r="156" spans="14:68">
      <c r="N156" s="7">
        <v>38</v>
      </c>
      <c r="O156" s="18">
        <f t="shared" si="158"/>
        <v>239.883291901949</v>
      </c>
      <c r="P156" s="86" t="str">
        <f t="shared" si="159"/>
        <v>15</v>
      </c>
      <c r="Q156" s="4" t="str">
        <f t="shared" si="160"/>
        <v>1+0,439609092742225i</v>
      </c>
      <c r="R156" s="4">
        <f t="shared" si="171"/>
        <v>1.09236264785173</v>
      </c>
      <c r="S156" s="4">
        <f t="shared" si="172"/>
        <v>0.414179324666793</v>
      </c>
      <c r="T156" s="4" t="str">
        <f t="shared" si="161"/>
        <v>1+0,00030144623502324i</v>
      </c>
      <c r="U156" s="4">
        <f t="shared" si="173"/>
        <v>1.00000004543492</v>
      </c>
      <c r="V156" s="4">
        <f t="shared" si="174"/>
        <v>0.000301446225892451</v>
      </c>
      <c r="W156" t="str">
        <f t="shared" si="162"/>
        <v>1-0,0263765455645335i</v>
      </c>
      <c r="X156" s="4">
        <f t="shared" si="175"/>
        <v>1.00034780059533</v>
      </c>
      <c r="Y156" s="4">
        <f t="shared" si="176"/>
        <v>-0.0263704312009543</v>
      </c>
      <c r="Z156" t="str">
        <f t="shared" si="163"/>
        <v>0,999999590798267+0,00139957180546504i</v>
      </c>
      <c r="AA156" s="4">
        <f t="shared" si="177"/>
        <v>1.00000057019881</v>
      </c>
      <c r="AB156" s="4">
        <f t="shared" si="178"/>
        <v>0.00139957146434477</v>
      </c>
      <c r="AC156" s="67" t="str">
        <f t="shared" si="179"/>
        <v>12,4184375948361-5,87137768825873i</v>
      </c>
      <c r="AD156" s="68">
        <f t="shared" si="180"/>
        <v>22.7575042255198</v>
      </c>
      <c r="AE156" s="31">
        <f t="shared" si="181"/>
        <v>-25.3045596182808</v>
      </c>
      <c r="AF156" s="32" t="str">
        <f t="shared" si="182"/>
        <v>75,4669735059805</v>
      </c>
      <c r="AG156" s="32" t="str">
        <f t="shared" si="164"/>
        <v>1+0,282605845334288i</v>
      </c>
      <c r="AH156" s="32">
        <f t="shared" si="183"/>
        <v>1.03916604246728</v>
      </c>
      <c r="AI156" s="32">
        <f t="shared" si="184"/>
        <v>0.275423464187438</v>
      </c>
      <c r="AJ156" s="32" t="str">
        <f t="shared" si="165"/>
        <v>1+0,00030144623502324i</v>
      </c>
      <c r="AK156" s="32">
        <f t="shared" si="185"/>
        <v>1.00000004543492</v>
      </c>
      <c r="AL156" s="32">
        <f t="shared" si="186"/>
        <v>0.000301446225892451</v>
      </c>
      <c r="AM156" s="32" t="str">
        <f t="shared" si="166"/>
        <v>1-0,00337027136536671i</v>
      </c>
      <c r="AN156" s="32">
        <f t="shared" si="187"/>
        <v>1.00000567934841</v>
      </c>
      <c r="AO156" s="32">
        <f t="shared" si="188"/>
        <v>-0.00337025860478723</v>
      </c>
      <c r="AP156" s="30" t="str">
        <f t="shared" si="189"/>
        <v>69,8249557221888-19,9645355821045i</v>
      </c>
      <c r="AQ156" s="32">
        <f t="shared" si="190"/>
        <v>37.2214894652075</v>
      </c>
      <c r="AR156" s="31">
        <f t="shared" si="191"/>
        <v>-15.9564320742409</v>
      </c>
      <c r="AS156" t="str">
        <f t="shared" si="167"/>
        <v>-0,000338461538461538</v>
      </c>
      <c r="AT156" t="str">
        <f t="shared" si="168"/>
        <v>0,000263846846128791i</v>
      </c>
      <c r="AU156">
        <f t="shared" si="192"/>
        <v>0.000263846846128791</v>
      </c>
      <c r="AV156">
        <f t="shared" si="193"/>
        <v>1.5707963267949</v>
      </c>
      <c r="AW156" t="str">
        <f t="shared" si="169"/>
        <v>1+0,0428213663696545i</v>
      </c>
      <c r="AX156">
        <f t="shared" si="194"/>
        <v>1.00091641480084</v>
      </c>
      <c r="AY156">
        <f t="shared" si="195"/>
        <v>0.0427952217180414</v>
      </c>
      <c r="AZ156" t="str">
        <f t="shared" si="170"/>
        <v>1+0,373793331428817i</v>
      </c>
      <c r="BA156">
        <f t="shared" si="196"/>
        <v>1.06757737640915</v>
      </c>
      <c r="BB156">
        <f t="shared" si="197"/>
        <v>0.357712349602926</v>
      </c>
      <c r="BC156" s="30" t="str">
        <f t="shared" si="198"/>
        <v>-0,42379224194121+1,30094283086221i</v>
      </c>
      <c r="BD156" s="32">
        <f t="shared" si="199"/>
        <v>2.72317934301147</v>
      </c>
      <c r="BE156" s="31">
        <f t="shared" si="200"/>
        <v>108.043422324185</v>
      </c>
      <c r="BF156" s="30" t="str">
        <f t="shared" si="201"/>
        <v>2,37548920110193+18,6439216733025i</v>
      </c>
      <c r="BG156" s="68">
        <f t="shared" si="202"/>
        <v>25.4806835685313</v>
      </c>
      <c r="BH156" s="31">
        <f t="shared" si="203"/>
        <v>82.7388627059046</v>
      </c>
      <c r="BI156" s="30" t="str">
        <f t="shared" si="156"/>
        <v>-3,61855509191977+99,2990908557079i</v>
      </c>
      <c r="BJ156" s="68">
        <f t="shared" si="204"/>
        <v>39.9446688082189</v>
      </c>
      <c r="BK156" s="31">
        <f t="shared" si="157"/>
        <v>92.0869902499445</v>
      </c>
      <c r="BL156" s="32">
        <f t="shared" si="205"/>
        <v>25.4806835685313</v>
      </c>
      <c r="BM156" s="31">
        <f t="shared" si="206"/>
        <v>82.7388627059046</v>
      </c>
      <c r="BO156">
        <f t="shared" si="207"/>
        <v>0</v>
      </c>
      <c r="BP156">
        <f t="shared" si="208"/>
        <v>0</v>
      </c>
    </row>
    <row r="157" spans="14:68">
      <c r="N157" s="7">
        <v>39</v>
      </c>
      <c r="O157" s="18">
        <f t="shared" si="158"/>
        <v>245.470891568503</v>
      </c>
      <c r="P157" s="86" t="str">
        <f t="shared" si="159"/>
        <v>15</v>
      </c>
      <c r="Q157" s="4" t="str">
        <f t="shared" si="160"/>
        <v>1+0,449848903946018i</v>
      </c>
      <c r="R157" s="4">
        <f t="shared" si="171"/>
        <v>1.09652361414674</v>
      </c>
      <c r="S157" s="4">
        <f t="shared" si="172"/>
        <v>0.422728267424311</v>
      </c>
      <c r="T157" s="4" t="str">
        <f t="shared" si="161"/>
        <v>1+0,000308467819848698i</v>
      </c>
      <c r="U157" s="4">
        <f t="shared" si="173"/>
        <v>1.0000000475762</v>
      </c>
      <c r="V157" s="4">
        <f t="shared" si="174"/>
        <v>0.000308467810064881</v>
      </c>
      <c r="W157" t="str">
        <f t="shared" si="162"/>
        <v>1-0,0269909342367611i</v>
      </c>
      <c r="X157" s="4">
        <f t="shared" si="175"/>
        <v>1.00036418894869</v>
      </c>
      <c r="Y157" s="4">
        <f t="shared" si="176"/>
        <v>-0.0269843827069604</v>
      </c>
      <c r="Z157" t="str">
        <f t="shared" si="163"/>
        <v>0,999999571513183+0,00143217202072609i</v>
      </c>
      <c r="AA157" s="4">
        <f t="shared" si="177"/>
        <v>1.00000059707144</v>
      </c>
      <c r="AB157" s="4">
        <f t="shared" si="178"/>
        <v>0.00143217165520915</v>
      </c>
      <c r="AC157" s="67" t="str">
        <f t="shared" si="179"/>
        <v>12,3172492075366-5,96262013597602i</v>
      </c>
      <c r="AD157" s="68">
        <f t="shared" si="180"/>
        <v>22.7246233604314</v>
      </c>
      <c r="AE157" s="31">
        <f t="shared" si="181"/>
        <v>-25.8310203339146</v>
      </c>
      <c r="AF157" s="32" t="str">
        <f t="shared" si="182"/>
        <v>75,4669735059805</v>
      </c>
      <c r="AG157" s="32" t="str">
        <f t="shared" si="164"/>
        <v>1+0,289188581108155i</v>
      </c>
      <c r="AH157" s="32">
        <f t="shared" si="183"/>
        <v>1.04097552105866</v>
      </c>
      <c r="AI157" s="32">
        <f t="shared" si="184"/>
        <v>0.281508787259048</v>
      </c>
      <c r="AJ157" s="32" t="str">
        <f t="shared" si="165"/>
        <v>1+0,000308467819848698i</v>
      </c>
      <c r="AK157" s="32">
        <f t="shared" si="185"/>
        <v>1.0000000475762</v>
      </c>
      <c r="AL157" s="32">
        <f t="shared" si="186"/>
        <v>0.000308467810064881</v>
      </c>
      <c r="AM157" s="32" t="str">
        <f t="shared" si="166"/>
        <v>1-0,00344877507026424i</v>
      </c>
      <c r="AN157" s="32">
        <f t="shared" si="187"/>
        <v>1.00000594700706</v>
      </c>
      <c r="AO157" s="32">
        <f t="shared" si="188"/>
        <v>-0.00344876139706137</v>
      </c>
      <c r="AP157" s="30" t="str">
        <f t="shared" si="189"/>
        <v>69,5795766744231-20,3586085366502i</v>
      </c>
      <c r="AQ157" s="32">
        <f t="shared" si="190"/>
        <v>37.2063803993201</v>
      </c>
      <c r="AR157" s="31">
        <f t="shared" si="191"/>
        <v>-16.3091909747565</v>
      </c>
      <c r="AS157" t="str">
        <f t="shared" si="167"/>
        <v>-0,000338461538461538</v>
      </c>
      <c r="AT157" t="str">
        <f t="shared" si="168"/>
        <v>0,00026999262867897i</v>
      </c>
      <c r="AU157">
        <f t="shared" si="192"/>
        <v>0.00026999262867897</v>
      </c>
      <c r="AV157">
        <f t="shared" si="193"/>
        <v>1.5707963267949</v>
      </c>
      <c r="AW157" t="str">
        <f t="shared" si="169"/>
        <v>1+0,0438188041259541i</v>
      </c>
      <c r="AX157">
        <f t="shared" si="194"/>
        <v>1.00095958339737</v>
      </c>
      <c r="AY157">
        <f t="shared" si="195"/>
        <v>0.0437907910773064</v>
      </c>
      <c r="AZ157" t="str">
        <f t="shared" si="170"/>
        <v>1+0,382500096612385i</v>
      </c>
      <c r="BA157">
        <f t="shared" si="196"/>
        <v>1.07065695902492</v>
      </c>
      <c r="BB157">
        <f t="shared" si="197"/>
        <v>0.365329829661991</v>
      </c>
      <c r="BC157" s="30" t="str">
        <f t="shared" si="198"/>
        <v>-0,423755688773407+1,27216394573195i</v>
      </c>
      <c r="BD157" s="32">
        <f t="shared" si="199"/>
        <v>2.54782438287445</v>
      </c>
      <c r="BE157" s="31">
        <f t="shared" si="200"/>
        <v>108.422829859597</v>
      </c>
      <c r="BF157" s="30" t="str">
        <f t="shared" si="201"/>
        <v>2,36592593735066+18,1962545550382i</v>
      </c>
      <c r="BG157" s="68">
        <f t="shared" si="202"/>
        <v>25.2724477433059</v>
      </c>
      <c r="BH157" s="31">
        <f t="shared" si="203"/>
        <v>82.5918095256819</v>
      </c>
      <c r="BI157" s="30" t="str">
        <f t="shared" si="156"/>
        <v>-3,58525367263517+97,1437049874092i</v>
      </c>
      <c r="BJ157" s="68">
        <f t="shared" si="204"/>
        <v>39.7542047821946</v>
      </c>
      <c r="BK157" s="31">
        <f t="shared" si="157"/>
        <v>92.1136388848401</v>
      </c>
      <c r="BL157" s="32">
        <f t="shared" si="205"/>
        <v>25.2724477433059</v>
      </c>
      <c r="BM157" s="31">
        <f t="shared" si="206"/>
        <v>82.5918095256819</v>
      </c>
      <c r="BO157">
        <f t="shared" si="207"/>
        <v>0</v>
      </c>
      <c r="BP157">
        <f t="shared" si="208"/>
        <v>0</v>
      </c>
    </row>
    <row r="158" spans="14:68">
      <c r="N158" s="7">
        <v>40</v>
      </c>
      <c r="O158" s="18">
        <f t="shared" si="158"/>
        <v>251.188643150958</v>
      </c>
      <c r="P158" s="86" t="str">
        <f t="shared" si="159"/>
        <v>15</v>
      </c>
      <c r="Q158" s="4" t="str">
        <f t="shared" si="160"/>
        <v>1+0,46032723099314i</v>
      </c>
      <c r="R158" s="4">
        <f t="shared" si="171"/>
        <v>1.10086382427338</v>
      </c>
      <c r="S158" s="4">
        <f t="shared" si="172"/>
        <v>0.431408788866561</v>
      </c>
      <c r="T158" s="4" t="str">
        <f t="shared" si="161"/>
        <v>1+0,000315652958395296i</v>
      </c>
      <c r="U158" s="4">
        <f t="shared" si="173"/>
        <v>1.00000004981839</v>
      </c>
      <c r="V158" s="4">
        <f t="shared" si="174"/>
        <v>0.000315652947911747</v>
      </c>
      <c r="W158" t="str">
        <f t="shared" si="162"/>
        <v>1-0,0276196338595884i</v>
      </c>
      <c r="X158" s="4">
        <f t="shared" si="175"/>
        <v>1.0003813493736</v>
      </c>
      <c r="Y158" s="4">
        <f t="shared" si="176"/>
        <v>-0.0276126139134525</v>
      </c>
      <c r="Z158" t="str">
        <f t="shared" si="163"/>
        <v>0,999999551319222+0,00146553159254958i</v>
      </c>
      <c r="AA158" s="4">
        <f t="shared" si="177"/>
        <v>1.00000062521055</v>
      </c>
      <c r="AB158" s="4">
        <f t="shared" si="178"/>
        <v>0.00146553120089113</v>
      </c>
      <c r="AC158" s="67" t="str">
        <f t="shared" si="179"/>
        <v>12,2129221033095-6,05348276983873i</v>
      </c>
      <c r="AD158" s="68">
        <f t="shared" si="180"/>
        <v>22.6904599002346</v>
      </c>
      <c r="AE158" s="31">
        <f t="shared" si="181"/>
        <v>-26.3658722563189</v>
      </c>
      <c r="AF158" s="32" t="str">
        <f t="shared" si="182"/>
        <v>75,4669735059805</v>
      </c>
      <c r="AG158" s="32" t="str">
        <f t="shared" si="164"/>
        <v>1+0,29592464849559i</v>
      </c>
      <c r="AH158" s="32">
        <f t="shared" si="183"/>
        <v>1.04286691269176</v>
      </c>
      <c r="AI158" s="32">
        <f t="shared" si="184"/>
        <v>0.287713758947852</v>
      </c>
      <c r="AJ158" s="32" t="str">
        <f t="shared" si="165"/>
        <v>1+0,000315652958395296i</v>
      </c>
      <c r="AK158" s="32">
        <f t="shared" si="185"/>
        <v>1.00000004981839</v>
      </c>
      <c r="AL158" s="32">
        <f t="shared" si="186"/>
        <v>0.000315652947911747</v>
      </c>
      <c r="AM158" s="32" t="str">
        <f t="shared" si="166"/>
        <v>1-0,00352910736135397i</v>
      </c>
      <c r="AN158" s="32">
        <f t="shared" si="187"/>
        <v>1.00000622727999</v>
      </c>
      <c r="AO158" s="32">
        <f t="shared" si="188"/>
        <v>-0.00352909271025806</v>
      </c>
      <c r="AP158" s="30" t="str">
        <f t="shared" si="189"/>
        <v>69,3244536865564-20,7573242676338i</v>
      </c>
      <c r="AQ158" s="32">
        <f t="shared" si="190"/>
        <v>37.190615419701</v>
      </c>
      <c r="AR158" s="31">
        <f t="shared" si="191"/>
        <v>-16.6689006316582</v>
      </c>
      <c r="AS158" t="str">
        <f t="shared" si="167"/>
        <v>-0,000338461538461538</v>
      </c>
      <c r="AT158" t="str">
        <f t="shared" si="168"/>
        <v>0,00027628156489465i</v>
      </c>
      <c r="AU158">
        <f t="shared" si="192"/>
        <v>0.00027628156489465</v>
      </c>
      <c r="AV158">
        <f t="shared" si="193"/>
        <v>1.5707963267949</v>
      </c>
      <c r="AW158" t="str">
        <f t="shared" si="169"/>
        <v>1+0,044839475192212i</v>
      </c>
      <c r="AX158">
        <f t="shared" si="194"/>
        <v>1.00100478447184</v>
      </c>
      <c r="AY158">
        <f t="shared" si="195"/>
        <v>0.0448094602968282</v>
      </c>
      <c r="AZ158" t="str">
        <f t="shared" si="170"/>
        <v>1+0,391409668410167i</v>
      </c>
      <c r="BA158">
        <f t="shared" si="196"/>
        <v>1.07387221238142</v>
      </c>
      <c r="BB158">
        <f t="shared" si="197"/>
        <v>0.37307905392737</v>
      </c>
      <c r="BC158" s="30" t="str">
        <f t="shared" si="198"/>
        <v>-0,423717419665641+1,24405942805468i</v>
      </c>
      <c r="BD158" s="32">
        <f t="shared" si="199"/>
        <v>2.37347736696771</v>
      </c>
      <c r="BE158" s="31">
        <f t="shared" si="200"/>
        <v>108.808462257505</v>
      </c>
      <c r="BF158" s="30" t="str">
        <f t="shared" si="201"/>
        <v>2,35606447219266+17,7585669859461i</v>
      </c>
      <c r="BG158" s="68">
        <f t="shared" si="202"/>
        <v>25.0639372672024</v>
      </c>
      <c r="BH158" s="31">
        <f t="shared" si="203"/>
        <v>82.4425900011858</v>
      </c>
      <c r="BI158" s="30" t="str">
        <f t="shared" si="156"/>
        <v>-3,55063367945988+95,0389800813453i</v>
      </c>
      <c r="BJ158" s="68">
        <f t="shared" si="204"/>
        <v>39.5640927866688</v>
      </c>
      <c r="BK158" s="31">
        <f t="shared" si="157"/>
        <v>92.1395616258465</v>
      </c>
      <c r="BL158" s="32">
        <f t="shared" si="205"/>
        <v>25.0639372672024</v>
      </c>
      <c r="BM158" s="31">
        <f t="shared" si="206"/>
        <v>82.4425900011858</v>
      </c>
      <c r="BO158">
        <f t="shared" si="207"/>
        <v>0</v>
      </c>
      <c r="BP158">
        <f t="shared" si="208"/>
        <v>0</v>
      </c>
    </row>
    <row r="159" spans="14:68">
      <c r="N159" s="7">
        <v>41</v>
      </c>
      <c r="O159" s="18">
        <f t="shared" si="158"/>
        <v>257.039578276887</v>
      </c>
      <c r="P159" s="86" t="str">
        <f t="shared" si="159"/>
        <v>15</v>
      </c>
      <c r="Q159" s="4" t="str">
        <f t="shared" si="160"/>
        <v>1+0,471049629631283i</v>
      </c>
      <c r="R159" s="4">
        <f t="shared" si="171"/>
        <v>1.10539031729782</v>
      </c>
      <c r="S159" s="4">
        <f t="shared" si="172"/>
        <v>0.440220257767967</v>
      </c>
      <c r="T159" s="4" t="str">
        <f t="shared" si="161"/>
        <v>1+0,000323005460318594i</v>
      </c>
      <c r="U159" s="4">
        <f t="shared" si="173"/>
        <v>1.00000005216626</v>
      </c>
      <c r="V159" s="4">
        <f t="shared" si="174"/>
        <v>0.000323005449085269</v>
      </c>
      <c r="W159" t="str">
        <f t="shared" si="162"/>
        <v>1-0,028262977777877i</v>
      </c>
      <c r="X159" s="4">
        <f t="shared" si="175"/>
        <v>1.00039931822891</v>
      </c>
      <c r="Y159" s="4">
        <f t="shared" si="176"/>
        <v>-0.0282554559322216</v>
      </c>
      <c r="Z159" t="str">
        <f t="shared" si="163"/>
        <v>0,999999530173548+0,00149966820862204i</v>
      </c>
      <c r="AA159" s="4">
        <f t="shared" si="177"/>
        <v>1.00000065467581</v>
      </c>
      <c r="AB159" s="4">
        <f t="shared" si="178"/>
        <v>0.00149966778895246</v>
      </c>
      <c r="AC159" s="67" t="str">
        <f t="shared" si="179"/>
        <v>12,1054237491563-6,14384941171563i</v>
      </c>
      <c r="AD159" s="68">
        <f t="shared" si="180"/>
        <v>22.6549745686131</v>
      </c>
      <c r="AE159" s="31">
        <f t="shared" si="181"/>
        <v>-26.9090989853863</v>
      </c>
      <c r="AF159" s="32" t="str">
        <f t="shared" si="182"/>
        <v>75,4669735059805</v>
      </c>
      <c r="AG159" s="32" t="str">
        <f t="shared" si="164"/>
        <v>1+0,302817619048682i</v>
      </c>
      <c r="AH159" s="32">
        <f t="shared" si="183"/>
        <v>1.0448437732055</v>
      </c>
      <c r="AI159" s="32">
        <f t="shared" si="184"/>
        <v>0.294039757267804</v>
      </c>
      <c r="AJ159" s="32" t="str">
        <f t="shared" si="165"/>
        <v>1+0,000323005460318594i</v>
      </c>
      <c r="AK159" s="32">
        <f t="shared" si="185"/>
        <v>1.00000005216626</v>
      </c>
      <c r="AL159" s="32">
        <f t="shared" si="186"/>
        <v>0.000323005449085269</v>
      </c>
      <c r="AM159" s="32" t="str">
        <f t="shared" si="166"/>
        <v>1-0,00361131083187993i</v>
      </c>
      <c r="AN159" s="32">
        <f t="shared" si="187"/>
        <v>1.0000065207617</v>
      </c>
      <c r="AO159" s="32">
        <f t="shared" si="188"/>
        <v>-0.00361129513295334</v>
      </c>
      <c r="AP159" s="30" t="str">
        <f t="shared" si="189"/>
        <v>69,0592815371912-21,16052566266i</v>
      </c>
      <c r="AQ159" s="32">
        <f t="shared" si="190"/>
        <v>37.1741685860609</v>
      </c>
      <c r="AR159" s="31">
        <f t="shared" si="191"/>
        <v>-17.0356422211984</v>
      </c>
      <c r="AS159" t="str">
        <f t="shared" si="167"/>
        <v>-0,000338461538461538</v>
      </c>
      <c r="AT159" t="str">
        <f t="shared" si="168"/>
        <v>0,000282716989253056i</v>
      </c>
      <c r="AU159">
        <f t="shared" si="192"/>
        <v>0.000282716989253056</v>
      </c>
      <c r="AV159">
        <f t="shared" si="193"/>
        <v>1.5707963267949</v>
      </c>
      <c r="AW159" t="str">
        <f t="shared" si="169"/>
        <v>1+0,0458839207417371i</v>
      </c>
      <c r="AX159">
        <f t="shared" si="194"/>
        <v>1.00105211361978</v>
      </c>
      <c r="AY159">
        <f t="shared" si="195"/>
        <v>0.0458517610272172</v>
      </c>
      <c r="AZ159" t="str">
        <f t="shared" si="170"/>
        <v>1+0,400526770795056i</v>
      </c>
      <c r="BA159">
        <f t="shared" si="196"/>
        <v>1.07722871022059</v>
      </c>
      <c r="BB159">
        <f t="shared" si="197"/>
        <v>0.380960407363148</v>
      </c>
      <c r="BC159" s="30" t="str">
        <f t="shared" si="198"/>
        <v>-0,42367735439812+1,21661436570822i</v>
      </c>
      <c r="BD159" s="32">
        <f t="shared" si="199"/>
        <v>2.20017299356229</v>
      </c>
      <c r="BE159" s="31">
        <f t="shared" si="200"/>
        <v>109.200311113391</v>
      </c>
      <c r="BF159" s="30" t="str">
        <f t="shared" si="201"/>
        <v>2,34590154713052+17,3306423007851i</v>
      </c>
      <c r="BG159" s="68">
        <f t="shared" si="202"/>
        <v>24.8551475621753</v>
      </c>
      <c r="BH159" s="31">
        <f t="shared" si="203"/>
        <v>82.2912121280047</v>
      </c>
      <c r="BI159" s="30" t="str">
        <f t="shared" si="156"/>
        <v>-3,51465419118249+92,9837495340646i</v>
      </c>
      <c r="BJ159" s="68">
        <f t="shared" si="204"/>
        <v>39.3743415796232</v>
      </c>
      <c r="BK159" s="31">
        <f t="shared" si="157"/>
        <v>92.1646688921926</v>
      </c>
      <c r="BL159" s="32">
        <f t="shared" si="205"/>
        <v>24.8551475621753</v>
      </c>
      <c r="BM159" s="31">
        <f t="shared" si="206"/>
        <v>82.2912121280047</v>
      </c>
      <c r="BO159">
        <f t="shared" si="207"/>
        <v>0</v>
      </c>
      <c r="BP159">
        <f t="shared" si="208"/>
        <v>0</v>
      </c>
    </row>
    <row r="160" spans="14:68">
      <c r="N160" s="7">
        <v>42</v>
      </c>
      <c r="O160" s="18">
        <f t="shared" si="158"/>
        <v>263.026799189538</v>
      </c>
      <c r="P160" s="86" t="str">
        <f t="shared" si="159"/>
        <v>15</v>
      </c>
      <c r="Q160" s="4" t="str">
        <f t="shared" si="160"/>
        <v>1+0,482021785018136i</v>
      </c>
      <c r="R160" s="4">
        <f t="shared" si="171"/>
        <v>1.11011035542962</v>
      </c>
      <c r="S160" s="4">
        <f t="shared" si="172"/>
        <v>0.449161871947988</v>
      </c>
      <c r="T160" s="4" t="str">
        <f t="shared" si="161"/>
        <v>1+0,000330529224012436i</v>
      </c>
      <c r="U160" s="4">
        <f t="shared" si="173"/>
        <v>1.00000005462478</v>
      </c>
      <c r="V160" s="4">
        <f t="shared" si="174"/>
        <v>0.000330529211975712</v>
      </c>
      <c r="W160" t="str">
        <f t="shared" si="162"/>
        <v>1-0,0289213071010882i</v>
      </c>
      <c r="X160" s="4">
        <f t="shared" si="175"/>
        <v>1.00041813358437</v>
      </c>
      <c r="Y160" s="4">
        <f t="shared" si="176"/>
        <v>-0.0289132474801841</v>
      </c>
      <c r="Z160" t="str">
        <f t="shared" si="163"/>
        <v>0,99999950803131+0,00153459996862916i</v>
      </c>
      <c r="AA160" s="4">
        <f t="shared" si="177"/>
        <v>1.00000068552973</v>
      </c>
      <c r="AB160" s="4">
        <f t="shared" si="178"/>
        <v>0.00153459951894512</v>
      </c>
      <c r="AC160" s="67" t="str">
        <f t="shared" si="179"/>
        <v>11,9947265316451-6,23359955077874i</v>
      </c>
      <c r="AD160" s="68">
        <f t="shared" si="180"/>
        <v>22.6181277262936</v>
      </c>
      <c r="AE160" s="31">
        <f t="shared" si="181"/>
        <v>-27.4606747802733</v>
      </c>
      <c r="AF160" s="32" t="str">
        <f t="shared" si="182"/>
        <v>75,4669735059805</v>
      </c>
      <c r="AG160" s="32" t="str">
        <f t="shared" si="164"/>
        <v>1+0,309871147511659i</v>
      </c>
      <c r="AH160" s="32">
        <f t="shared" si="183"/>
        <v>1.04690979939066</v>
      </c>
      <c r="AI160" s="32">
        <f t="shared" si="184"/>
        <v>0.300488110345667</v>
      </c>
      <c r="AJ160" s="32" t="str">
        <f t="shared" si="165"/>
        <v>1+0,000330529224012436i</v>
      </c>
      <c r="AK160" s="32">
        <f t="shared" si="185"/>
        <v>1.00000005462478</v>
      </c>
      <c r="AL160" s="32">
        <f t="shared" si="186"/>
        <v>0.000330529211975712</v>
      </c>
      <c r="AM160" s="32" t="str">
        <f t="shared" si="166"/>
        <v>1-0,00369542906721031i</v>
      </c>
      <c r="AN160" s="32">
        <f t="shared" si="187"/>
        <v>1.00000682807468</v>
      </c>
      <c r="AO160" s="32">
        <f t="shared" si="188"/>
        <v>-0.0036954122455136</v>
      </c>
      <c r="AP160" s="30" t="str">
        <f t="shared" si="189"/>
        <v>68,7837526384829-21,5680391675617i</v>
      </c>
      <c r="AQ160" s="32">
        <f t="shared" si="190"/>
        <v>37.1570131549013</v>
      </c>
      <c r="AR160" s="31">
        <f t="shared" si="191"/>
        <v>-17.409494113045</v>
      </c>
      <c r="AS160" t="str">
        <f t="shared" si="167"/>
        <v>-0,000338461538461538</v>
      </c>
      <c r="AT160" t="str">
        <f t="shared" si="168"/>
        <v>0,000289302313901365i</v>
      </c>
      <c r="AU160">
        <f t="shared" si="192"/>
        <v>0.000289302313901365</v>
      </c>
      <c r="AV160">
        <f t="shared" si="193"/>
        <v>1.5707963267949</v>
      </c>
      <c r="AW160" t="str">
        <f t="shared" si="169"/>
        <v>1+0,0469526945533851i</v>
      </c>
      <c r="AX160">
        <f t="shared" si="194"/>
        <v>1.0011016709235</v>
      </c>
      <c r="AY160">
        <f t="shared" si="195"/>
        <v>0.0469182368461952</v>
      </c>
      <c r="AZ160" t="str">
        <f t="shared" si="170"/>
        <v>1+0,40985623777542i</v>
      </c>
      <c r="BA160">
        <f t="shared" si="196"/>
        <v>1.08073222198814</v>
      </c>
      <c r="BB160">
        <f t="shared" si="197"/>
        <v>0.388974151286008</v>
      </c>
      <c r="BC160" s="30" t="str">
        <f t="shared" si="198"/>
        <v>-0,423635409032825+1,1898141954599i</v>
      </c>
      <c r="BD160" s="32">
        <f t="shared" si="199"/>
        <v>2.02794661644331</v>
      </c>
      <c r="BE160" s="31">
        <f t="shared" si="200"/>
        <v>109.598360254889</v>
      </c>
      <c r="BF160" s="30" t="str">
        <f t="shared" si="201"/>
        <v>2,33543435385865+16,9122693934518i</v>
      </c>
      <c r="BG160" s="68">
        <f t="shared" si="202"/>
        <v>24.6460743427369</v>
      </c>
      <c r="BH160" s="31">
        <f t="shared" si="203"/>
        <v>82.137685474616</v>
      </c>
      <c r="BI160" s="30" t="str">
        <f t="shared" si="156"/>
        <v>-3,47727401401632+90,9768704010553i</v>
      </c>
      <c r="BJ160" s="68">
        <f t="shared" si="204"/>
        <v>39.1849597713446</v>
      </c>
      <c r="BK160" s="31">
        <f t="shared" si="157"/>
        <v>92.1888661418443</v>
      </c>
      <c r="BL160" s="32">
        <f t="shared" si="205"/>
        <v>24.6460743427369</v>
      </c>
      <c r="BM160" s="31">
        <f t="shared" si="206"/>
        <v>82.137685474616</v>
      </c>
      <c r="BO160">
        <f t="shared" si="207"/>
        <v>0</v>
      </c>
      <c r="BP160">
        <f t="shared" si="208"/>
        <v>0</v>
      </c>
    </row>
    <row r="161" spans="14:68">
      <c r="N161" s="7">
        <v>43</v>
      </c>
      <c r="O161" s="18">
        <f t="shared" si="158"/>
        <v>269.153480392692</v>
      </c>
      <c r="P161" s="86" t="str">
        <f t="shared" si="159"/>
        <v>15</v>
      </c>
      <c r="Q161" s="4" t="str">
        <f t="shared" si="160"/>
        <v>1+0,493249514735719i</v>
      </c>
      <c r="R161" s="4">
        <f t="shared" si="171"/>
        <v>1.11503142726428</v>
      </c>
      <c r="S161" s="4">
        <f t="shared" si="172"/>
        <v>0.458232652137839</v>
      </c>
      <c r="T161" s="4" t="str">
        <f t="shared" si="161"/>
        <v>1+0,000338228238675922i</v>
      </c>
      <c r="U161" s="4">
        <f t="shared" si="173"/>
        <v>1.00000005719917</v>
      </c>
      <c r="V161" s="4">
        <f t="shared" si="174"/>
        <v>0.00033822822577834</v>
      </c>
      <c r="W161" t="str">
        <f t="shared" si="162"/>
        <v>1-0,0295949708841432i</v>
      </c>
      <c r="X161" s="4">
        <f t="shared" si="175"/>
        <v>1.00043783530094</v>
      </c>
      <c r="Y161" s="4">
        <f t="shared" si="176"/>
        <v>-0.0295863350488655</v>
      </c>
      <c r="Z161" t="str">
        <f t="shared" si="163"/>
        <v>0,999999484845539+0,00157034539385249i</v>
      </c>
      <c r="AA161" s="4">
        <f t="shared" si="177"/>
        <v>1.00000071783774</v>
      </c>
      <c r="AB161" s="4">
        <f t="shared" si="178"/>
        <v>0.00157034491200737</v>
      </c>
      <c r="AC161" s="67" t="str">
        <f t="shared" si="179"/>
        <v>11,8808081526929-6,32260852241683i</v>
      </c>
      <c r="AD161" s="68">
        <f t="shared" si="180"/>
        <v>22.5798794359478</v>
      </c>
      <c r="AE161" s="31">
        <f t="shared" si="181"/>
        <v>-28.020564218133</v>
      </c>
      <c r="AF161" s="32" t="str">
        <f t="shared" si="182"/>
        <v>75,4669735059805</v>
      </c>
      <c r="AG161" s="32" t="str">
        <f t="shared" si="164"/>
        <v>1+0,317088973758677i</v>
      </c>
      <c r="AH161" s="32">
        <f t="shared" si="183"/>
        <v>1.04906883343245</v>
      </c>
      <c r="AI161" s="32">
        <f t="shared" si="184"/>
        <v>0.307060091352513</v>
      </c>
      <c r="AJ161" s="32" t="str">
        <f t="shared" si="165"/>
        <v>1+0,000338228238675922i</v>
      </c>
      <c r="AK161" s="32">
        <f t="shared" si="185"/>
        <v>1.00000005719917</v>
      </c>
      <c r="AL161" s="32">
        <f t="shared" si="186"/>
        <v>0.00033822822577834</v>
      </c>
      <c r="AM161" s="32" t="str">
        <f t="shared" si="166"/>
        <v>1-0,00378150666794692i</v>
      </c>
      <c r="AN161" s="32">
        <f t="shared" si="187"/>
        <v>1.00000714987078</v>
      </c>
      <c r="AO161" s="32">
        <f t="shared" si="188"/>
        <v>-0.00378148864318111</v>
      </c>
      <c r="AP161" s="30" t="str">
        <f t="shared" si="189"/>
        <v>68,4975577292649-21,9796740873438i</v>
      </c>
      <c r="AQ161" s="32">
        <f t="shared" si="190"/>
        <v>37.1391215742163</v>
      </c>
      <c r="AR161" s="31">
        <f t="shared" si="191"/>
        <v>-17.7905315810821</v>
      </c>
      <c r="AS161" t="str">
        <f t="shared" si="167"/>
        <v>-0,000338461538461538</v>
      </c>
      <c r="AT161" t="str">
        <f t="shared" si="168"/>
        <v>0,000296041030465874i</v>
      </c>
      <c r="AU161">
        <f t="shared" si="192"/>
        <v>0.000296041030465874</v>
      </c>
      <c r="AV161">
        <f t="shared" si="193"/>
        <v>1.5707963267949</v>
      </c>
      <c r="AW161" t="str">
        <f t="shared" si="169"/>
        <v>1+0,0480463633051778i</v>
      </c>
      <c r="AX161">
        <f t="shared" si="194"/>
        <v>1.00115356116175</v>
      </c>
      <c r="AY161">
        <f t="shared" si="195"/>
        <v>0.0480094435040117</v>
      </c>
      <c r="AZ161" t="str">
        <f t="shared" si="170"/>
        <v>1+0,419403015958143i</v>
      </c>
      <c r="BA161">
        <f t="shared" si="196"/>
        <v>1.08438871710968</v>
      </c>
      <c r="BB161">
        <f t="shared" si="197"/>
        <v>0.397120416499562</v>
      </c>
      <c r="BC161" s="30" t="str">
        <f t="shared" si="198"/>
        <v>-0,423591495744245+1,16364469519107i</v>
      </c>
      <c r="BD161" s="32">
        <f t="shared" si="199"/>
        <v>1.85683421190142</v>
      </c>
      <c r="BE161" s="31">
        <f t="shared" si="200"/>
        <v>110.002585334351</v>
      </c>
      <c r="BF161" s="30" t="str">
        <f t="shared" si="201"/>
        <v>2,32466057083059+16,5032425824798i</v>
      </c>
      <c r="BG161" s="68">
        <f t="shared" si="202"/>
        <v>24.4367136478492</v>
      </c>
      <c r="BH161" s="31">
        <f t="shared" si="203"/>
        <v>81.9820211162176</v>
      </c>
      <c r="BI161" s="30" t="str">
        <f t="shared" si="156"/>
        <v>-3,43845177960085+89,0172227078322i</v>
      </c>
      <c r="BJ161" s="68">
        <f t="shared" si="204"/>
        <v>38.9959557861177</v>
      </c>
      <c r="BK161" s="31">
        <f t="shared" si="157"/>
        <v>92.2120537532685</v>
      </c>
      <c r="BL161" s="32">
        <f t="shared" si="205"/>
        <v>24.4367136478492</v>
      </c>
      <c r="BM161" s="31">
        <f t="shared" si="206"/>
        <v>81.9820211162176</v>
      </c>
      <c r="BO161">
        <f t="shared" si="207"/>
        <v>0</v>
      </c>
      <c r="BP161">
        <f t="shared" si="208"/>
        <v>0</v>
      </c>
    </row>
    <row r="162" spans="14:68">
      <c r="N162" s="7">
        <v>44</v>
      </c>
      <c r="O162" s="18">
        <f t="shared" si="158"/>
        <v>275.422870333817</v>
      </c>
      <c r="P162" s="86" t="str">
        <f t="shared" si="159"/>
        <v>15</v>
      </c>
      <c r="Q162" s="4" t="str">
        <f t="shared" si="160"/>
        <v>1+0,504738771874945i</v>
      </c>
      <c r="R162" s="4">
        <f t="shared" si="171"/>
        <v>1.12016125081786</v>
      </c>
      <c r="S162" s="4">
        <f t="shared" si="172"/>
        <v>0.467431436130873</v>
      </c>
      <c r="T162" s="4" t="str">
        <f t="shared" si="161"/>
        <v>1+0,000346106586428534i</v>
      </c>
      <c r="U162" s="4">
        <f t="shared" si="173"/>
        <v>1.00000005989488</v>
      </c>
      <c r="V162" s="4">
        <f t="shared" si="174"/>
        <v>0.000346106572608526</v>
      </c>
      <c r="W162" t="str">
        <f t="shared" si="162"/>
        <v>1-0,0302843263124967i</v>
      </c>
      <c r="X162" s="4">
        <f t="shared" si="175"/>
        <v>1.00045846511497</v>
      </c>
      <c r="Y162" s="4">
        <f t="shared" si="176"/>
        <v>-0.0302750730772863</v>
      </c>
      <c r="Z162" t="str">
        <f t="shared" si="163"/>
        <v>0,999999460567058+0,00160692343698962i</v>
      </c>
      <c r="AA162" s="4">
        <f t="shared" si="177"/>
        <v>1.00000075166839</v>
      </c>
      <c r="AB162" s="4">
        <f t="shared" si="178"/>
        <v>0.00160692292068329</v>
      </c>
      <c r="AC162" s="67" t="str">
        <f t="shared" si="179"/>
        <v>11,7636520247895-6,41074772226062i</v>
      </c>
      <c r="AD162" s="68">
        <f t="shared" si="180"/>
        <v>22.5401895320911</v>
      </c>
      <c r="AE162" s="31">
        <f t="shared" si="181"/>
        <v>-28.5887218693023</v>
      </c>
      <c r="AF162" s="32" t="str">
        <f t="shared" si="182"/>
        <v>75,4669735059805</v>
      </c>
      <c r="AG162" s="32" t="str">
        <f t="shared" si="164"/>
        <v>1+0,324474924776751i</v>
      </c>
      <c r="AH162" s="32">
        <f t="shared" si="183"/>
        <v>1.05132486739774</v>
      </c>
      <c r="AI162" s="32">
        <f t="shared" si="184"/>
        <v>0.31375691322581</v>
      </c>
      <c r="AJ162" s="32" t="str">
        <f t="shared" si="165"/>
        <v>1+0,000346106586428534i</v>
      </c>
      <c r="AK162" s="32">
        <f t="shared" si="185"/>
        <v>1.00000005989488</v>
      </c>
      <c r="AL162" s="32">
        <f t="shared" si="186"/>
        <v>0.000346106572608526</v>
      </c>
      <c r="AM162" s="32" t="str">
        <f t="shared" si="166"/>
        <v>1-0,00386958927357304i</v>
      </c>
      <c r="AN162" s="32">
        <f t="shared" si="187"/>
        <v>1.00000748683255</v>
      </c>
      <c r="AO162" s="32">
        <f t="shared" si="188"/>
        <v>-0.00386956995969632</v>
      </c>
      <c r="AP162" s="30" t="str">
        <f t="shared" si="189"/>
        <v>68,2003866372999-22,3952218984827i</v>
      </c>
      <c r="AQ162" s="32">
        <f t="shared" si="190"/>
        <v>37.1204654801009</v>
      </c>
      <c r="AR162" s="31">
        <f t="shared" si="191"/>
        <v>-18.1788265022403</v>
      </c>
      <c r="AS162" t="str">
        <f t="shared" si="167"/>
        <v>-0,000338461538461538</v>
      </c>
      <c r="AT162" t="str">
        <f t="shared" si="168"/>
        <v>0,000302936711903302i</v>
      </c>
      <c r="AU162">
        <f t="shared" si="192"/>
        <v>0.000302936711903302</v>
      </c>
      <c r="AV162">
        <f t="shared" si="193"/>
        <v>1.5707963267949</v>
      </c>
      <c r="AW162" t="str">
        <f t="shared" si="169"/>
        <v>1+0,0491655068747637i</v>
      </c>
      <c r="AX162">
        <f t="shared" si="194"/>
        <v>1.00120789402913</v>
      </c>
      <c r="AY162">
        <f t="shared" si="195"/>
        <v>0.0491259491722933</v>
      </c>
      <c r="AZ162" t="str">
        <f t="shared" si="170"/>
        <v>1+0,429172167171382i</v>
      </c>
      <c r="BA162">
        <f t="shared" si="196"/>
        <v>1.0882043691672</v>
      </c>
      <c r="BB162">
        <f t="shared" si="197"/>
        <v>0.405399196416697</v>
      </c>
      <c r="BC162" s="30" t="str">
        <f t="shared" si="198"/>
        <v>-0,423545522642714+1,13809197629866i</v>
      </c>
      <c r="BD162" s="32">
        <f t="shared" si="199"/>
        <v>1.68687234134816</v>
      </c>
      <c r="BE162" s="31">
        <f t="shared" si="200"/>
        <v>110.412953420525</v>
      </c>
      <c r="BF162" s="30" t="str">
        <f t="shared" si="201"/>
        <v>2,31357839975323+16,1033614759379i</v>
      </c>
      <c r="BG162" s="68">
        <f t="shared" si="202"/>
        <v>24.2270618734393</v>
      </c>
      <c r="BH162" s="31">
        <f t="shared" si="203"/>
        <v>81.824231551223</v>
      </c>
      <c r="BI162" s="30" t="str">
        <f t="shared" si="156"/>
        <v>-3,39814605263915+87,1037087760698i</v>
      </c>
      <c r="BJ162" s="68">
        <f t="shared" si="204"/>
        <v>38.8073378214491</v>
      </c>
      <c r="BK162" s="31">
        <f t="shared" si="157"/>
        <v>92.234126918285</v>
      </c>
      <c r="BL162" s="32">
        <f t="shared" si="205"/>
        <v>24.2270618734393</v>
      </c>
      <c r="BM162" s="31">
        <f t="shared" si="206"/>
        <v>81.824231551223</v>
      </c>
      <c r="BO162">
        <f t="shared" si="207"/>
        <v>0</v>
      </c>
      <c r="BP162">
        <f t="shared" si="208"/>
        <v>0</v>
      </c>
    </row>
    <row r="163" spans="14:68">
      <c r="N163" s="7">
        <v>45</v>
      </c>
      <c r="O163" s="18">
        <f t="shared" si="158"/>
        <v>281.838293126446</v>
      </c>
      <c r="P163" s="86" t="str">
        <f t="shared" si="159"/>
        <v>15</v>
      </c>
      <c r="Q163" s="4" t="str">
        <f t="shared" si="160"/>
        <v>1+0,516495648192026i</v>
      </c>
      <c r="R163" s="4">
        <f t="shared" si="171"/>
        <v>1.12550777633977</v>
      </c>
      <c r="S163" s="4">
        <f t="shared" si="172"/>
        <v>0.476756873268271</v>
      </c>
      <c r="T163" s="4" t="str">
        <f t="shared" si="161"/>
        <v>1+0,000354168444474532i</v>
      </c>
      <c r="U163" s="4">
        <f t="shared" si="173"/>
        <v>1.00000006271764</v>
      </c>
      <c r="V163" s="4">
        <f t="shared" si="174"/>
        <v>0.000354168429666126</v>
      </c>
      <c r="W163" t="str">
        <f t="shared" si="162"/>
        <v>1-0,0309897388915216i</v>
      </c>
      <c r="X163" s="4">
        <f t="shared" si="175"/>
        <v>1.00048006672625</v>
      </c>
      <c r="Y163" s="4">
        <f t="shared" si="176"/>
        <v>-0.0309798241282916</v>
      </c>
      <c r="Z163" t="str">
        <f t="shared" si="163"/>
        <v>0,999999435144366+0,00164435349220318i</v>
      </c>
      <c r="AA163" s="4">
        <f t="shared" si="177"/>
        <v>1.00000078709342</v>
      </c>
      <c r="AB163" s="4">
        <f t="shared" si="178"/>
        <v>0.001644352938971</v>
      </c>
      <c r="AC163" s="67" t="str">
        <f t="shared" si="179"/>
        <v>11,6432476625804-6,49788485656099i</v>
      </c>
      <c r="AD163" s="68">
        <f t="shared" si="180"/>
        <v>22.4990176959553</v>
      </c>
      <c r="AE163" s="31">
        <f t="shared" si="181"/>
        <v>-29.1650919919104</v>
      </c>
      <c r="AF163" s="32" t="str">
        <f t="shared" si="182"/>
        <v>75,4669735059805</v>
      </c>
      <c r="AG163" s="32" t="str">
        <f t="shared" si="164"/>
        <v>1+0,332032916694874i</v>
      </c>
      <c r="AH163" s="32">
        <f t="shared" si="183"/>
        <v>1.05368204775867</v>
      </c>
      <c r="AI163" s="32">
        <f t="shared" si="184"/>
        <v>0.320579723186314</v>
      </c>
      <c r="AJ163" s="32" t="str">
        <f t="shared" si="165"/>
        <v>1+0,000354168444474532i</v>
      </c>
      <c r="AK163" s="32">
        <f t="shared" si="185"/>
        <v>1.00000006271764</v>
      </c>
      <c r="AL163" s="32">
        <f t="shared" si="186"/>
        <v>0.000354168429666126</v>
      </c>
      <c r="AM163" s="32" t="str">
        <f t="shared" si="166"/>
        <v>1-0,00395972358665207i</v>
      </c>
      <c r="AN163" s="32">
        <f t="shared" si="187"/>
        <v>1.00000783967471</v>
      </c>
      <c r="AO163" s="32">
        <f t="shared" si="188"/>
        <v>-0.00395970289146906</v>
      </c>
      <c r="AP163" s="30" t="str">
        <f t="shared" si="189"/>
        <v>67,8919291132206-22,8144555778933i</v>
      </c>
      <c r="AQ163" s="32">
        <f t="shared" si="190"/>
        <v>37.1010156954529</v>
      </c>
      <c r="AR163" s="31">
        <f t="shared" si="191"/>
        <v>-18.5744470435983</v>
      </c>
      <c r="AS163" t="str">
        <f t="shared" si="167"/>
        <v>-0,000338461538461538</v>
      </c>
      <c r="AT163" t="str">
        <f t="shared" si="168"/>
        <v>0,000309993014395223i</v>
      </c>
      <c r="AU163">
        <f t="shared" si="192"/>
        <v>0.000309993014395223</v>
      </c>
      <c r="AV163">
        <f t="shared" si="193"/>
        <v>1.5707963267949</v>
      </c>
      <c r="AW163" t="str">
        <f t="shared" si="169"/>
        <v>1+0,0503107186468769i</v>
      </c>
      <c r="AX163">
        <f t="shared" si="194"/>
        <v>1.00126478436564</v>
      </c>
      <c r="AY163">
        <f t="shared" si="195"/>
        <v>0.0502683346962435</v>
      </c>
      <c r="AZ163" t="str">
        <f t="shared" si="170"/>
        <v>1+0,43916887114842i</v>
      </c>
      <c r="BA163">
        <f t="shared" si="196"/>
        <v>1.09218555996029</v>
      </c>
      <c r="BB163">
        <f t="shared" si="197"/>
        <v>0.41381034020351</v>
      </c>
      <c r="BC163" s="30" t="str">
        <f t="shared" si="198"/>
        <v>-0,42349739359005+1,11314247626963i</v>
      </c>
      <c r="BD163" s="32">
        <f t="shared" si="199"/>
        <v>1.5180981093899</v>
      </c>
      <c r="BE163" s="31">
        <f t="shared" si="200"/>
        <v>110.829422591288</v>
      </c>
      <c r="BF163" s="30" t="str">
        <f t="shared" si="201"/>
        <v>2,30218660172099+15,7124308355472i</v>
      </c>
      <c r="BG163" s="68">
        <f t="shared" si="202"/>
        <v>24.0171158053452</v>
      </c>
      <c r="BH163" s="31">
        <f t="shared" si="203"/>
        <v>81.6643305993778</v>
      </c>
      <c r="BI163" s="30" t="str">
        <f t="shared" si="156"/>
        <v>-3,35631544852974+85,2352525652264i</v>
      </c>
      <c r="BJ163" s="68">
        <f t="shared" si="204"/>
        <v>38.6191138048428</v>
      </c>
      <c r="BK163" s="31">
        <f t="shared" si="157"/>
        <v>92.2549755476899</v>
      </c>
      <c r="BL163" s="32">
        <f t="shared" si="205"/>
        <v>24.0171158053452</v>
      </c>
      <c r="BM163" s="31">
        <f t="shared" si="206"/>
        <v>81.6643305993778</v>
      </c>
      <c r="BO163">
        <f t="shared" si="207"/>
        <v>0</v>
      </c>
      <c r="BP163">
        <f t="shared" si="208"/>
        <v>0</v>
      </c>
    </row>
    <row r="164" spans="14:68">
      <c r="N164" s="7">
        <v>46</v>
      </c>
      <c r="O164" s="18">
        <f t="shared" si="158"/>
        <v>288.403150312661</v>
      </c>
      <c r="P164" s="86" t="str">
        <f t="shared" si="159"/>
        <v>15</v>
      </c>
      <c r="Q164" s="4" t="str">
        <f t="shared" si="160"/>
        <v>1+0,528526377338406i</v>
      </c>
      <c r="R164" s="4">
        <f t="shared" si="171"/>
        <v>1.13107918889106</v>
      </c>
      <c r="S164" s="4">
        <f t="shared" si="172"/>
        <v>0.486207419313289</v>
      </c>
      <c r="T164" s="4" t="str">
        <f t="shared" si="161"/>
        <v>1+0,000362418087317764i</v>
      </c>
      <c r="U164" s="4">
        <f t="shared" si="173"/>
        <v>1.00000006567343</v>
      </c>
      <c r="V164" s="4">
        <f t="shared" si="174"/>
        <v>0.000362418071450271</v>
      </c>
      <c r="W164" t="str">
        <f t="shared" si="162"/>
        <v>1-0,0317115826403044i</v>
      </c>
      <c r="X164" s="4">
        <f t="shared" si="175"/>
        <v>1.00050268589022</v>
      </c>
      <c r="Y164" s="4">
        <f t="shared" si="176"/>
        <v>-0.0317009590683631</v>
      </c>
      <c r="Z164" t="str">
        <f t="shared" si="163"/>
        <v>0,999999408523541+0,0016826554054039i</v>
      </c>
      <c r="AA164" s="4">
        <f t="shared" si="177"/>
        <v>1.00000082418798</v>
      </c>
      <c r="AB164" s="4">
        <f t="shared" si="178"/>
        <v>0.00168265481260496</v>
      </c>
      <c r="AC164" s="67" t="str">
        <f t="shared" si="179"/>
        <v>11,5195910674802-6,5838842299024i</v>
      </c>
      <c r="AD164" s="68">
        <f t="shared" si="180"/>
        <v>22.4563235352691</v>
      </c>
      <c r="AE164" s="31">
        <f t="shared" si="181"/>
        <v>-29.7496082489595</v>
      </c>
      <c r="AF164" s="32" t="str">
        <f t="shared" si="182"/>
        <v>75,4669735059805</v>
      </c>
      <c r="AG164" s="32" t="str">
        <f t="shared" si="164"/>
        <v>1+0,339766956860404i</v>
      </c>
      <c r="AH164" s="32">
        <f t="shared" si="183"/>
        <v>1.05614467994408</v>
      </c>
      <c r="AI164" s="32">
        <f t="shared" si="184"/>
        <v>0.327529597055656</v>
      </c>
      <c r="AJ164" s="32" t="str">
        <f t="shared" si="165"/>
        <v>1+0,000362418087317764i</v>
      </c>
      <c r="AK164" s="32">
        <f t="shared" si="185"/>
        <v>1.00000006567343</v>
      </c>
      <c r="AL164" s="32">
        <f t="shared" si="186"/>
        <v>0.000362418071450271</v>
      </c>
      <c r="AM164" s="32" t="str">
        <f t="shared" si="166"/>
        <v>1-0,00405195739758987i</v>
      </c>
      <c r="AN164" s="32">
        <f t="shared" si="187"/>
        <v>1.00000820914568</v>
      </c>
      <c r="AO164" s="32">
        <f t="shared" si="188"/>
        <v>-0.00405193522231159</v>
      </c>
      <c r="AP164" s="30" t="str">
        <f t="shared" si="189"/>
        <v>67,5718757384308-23,2371289543736i</v>
      </c>
      <c r="AQ164" s="32">
        <f t="shared" si="190"/>
        <v>37.0807422309572</v>
      </c>
      <c r="AR164" s="31">
        <f t="shared" si="191"/>
        <v>-18.977457338095</v>
      </c>
      <c r="AS164" t="str">
        <f t="shared" si="167"/>
        <v>-0,000338461538461538</v>
      </c>
      <c r="AT164" t="str">
        <f t="shared" si="168"/>
        <v>0,000317213679286618i</v>
      </c>
      <c r="AU164">
        <f t="shared" si="192"/>
        <v>0.000317213679286618</v>
      </c>
      <c r="AV164">
        <f t="shared" si="193"/>
        <v>1.5707963267949</v>
      </c>
      <c r="AW164" t="str">
        <f t="shared" si="169"/>
        <v>1+0,0514826058279578i</v>
      </c>
      <c r="AX164">
        <f t="shared" si="194"/>
        <v>1.00132435239678</v>
      </c>
      <c r="AY164">
        <f t="shared" si="195"/>
        <v>0.0514371938501013</v>
      </c>
      <c r="AZ164" t="str">
        <f t="shared" si="170"/>
        <v>1+0,449398428274027i</v>
      </c>
      <c r="BA164">
        <f t="shared" si="196"/>
        <v>1.09633888343667</v>
      </c>
      <c r="BB164">
        <f t="shared" si="197"/>
        <v>0.422353545981328</v>
      </c>
      <c r="BC164" s="30" t="str">
        <f t="shared" si="198"/>
        <v>-0,423447008007184+1,08878295142387i</v>
      </c>
      <c r="BD164" s="32">
        <f t="shared" si="199"/>
        <v>1.35054911720934</v>
      </c>
      <c r="BE164" s="31">
        <f t="shared" si="200"/>
        <v>111.251941529508</v>
      </c>
      <c r="BF164" s="30" t="str">
        <f t="shared" si="201"/>
        <v>2,29048453267544+15,330260439865i</v>
      </c>
      <c r="BG164" s="68">
        <f t="shared" si="202"/>
        <v>23.8068726524784</v>
      </c>
      <c r="BH164" s="31">
        <f t="shared" si="203"/>
        <v>81.5023332805481</v>
      </c>
      <c r="BI164" s="30" t="str">
        <f t="shared" si="156"/>
        <v>-3,3129187613118+83,4107990301423i</v>
      </c>
      <c r="BJ164" s="68">
        <f t="shared" si="204"/>
        <v>38.4312913481665</v>
      </c>
      <c r="BK164" s="31">
        <f t="shared" si="157"/>
        <v>92.2744841914126</v>
      </c>
      <c r="BL164" s="32">
        <f t="shared" si="205"/>
        <v>23.8068726524784</v>
      </c>
      <c r="BM164" s="31">
        <f t="shared" si="206"/>
        <v>81.5023332805481</v>
      </c>
      <c r="BO164">
        <f t="shared" si="207"/>
        <v>0</v>
      </c>
      <c r="BP164">
        <f t="shared" si="208"/>
        <v>0</v>
      </c>
    </row>
    <row r="165" spans="14:68">
      <c r="N165" s="7">
        <v>47</v>
      </c>
      <c r="O165" s="18">
        <f t="shared" si="158"/>
        <v>295.120922666639</v>
      </c>
      <c r="P165" s="86" t="str">
        <f t="shared" si="159"/>
        <v>15</v>
      </c>
      <c r="Q165" s="4" t="str">
        <f t="shared" si="160"/>
        <v>1+0,540837338165923i</v>
      </c>
      <c r="R165" s="4">
        <f t="shared" si="171"/>
        <v>1.1368839106762</v>
      </c>
      <c r="S165" s="4">
        <f t="shared" si="172"/>
        <v>0.495781331768531</v>
      </c>
      <c r="T165" s="4" t="str">
        <f t="shared" si="161"/>
        <v>1+0,000370859889028062i</v>
      </c>
      <c r="U165" s="4">
        <f t="shared" si="173"/>
        <v>1.00000006876853</v>
      </c>
      <c r="V165" s="4">
        <f t="shared" si="174"/>
        <v>0.000370859872025738</v>
      </c>
      <c r="W165" t="str">
        <f t="shared" si="162"/>
        <v>1-0,0324502402899554i</v>
      </c>
      <c r="X165" s="4">
        <f t="shared" si="175"/>
        <v>1.00052637051448</v>
      </c>
      <c r="Y165" s="4">
        <f t="shared" si="176"/>
        <v>-0.0324388572509485</v>
      </c>
      <c r="Z165" t="str">
        <f t="shared" si="163"/>
        <v>0,999999380648114+0,00172184948477314i</v>
      </c>
      <c r="AA165" s="4">
        <f t="shared" si="177"/>
        <v>1.00000086303076</v>
      </c>
      <c r="AB165" s="4">
        <f t="shared" si="178"/>
        <v>0.00172184884957766</v>
      </c>
      <c r="AC165" s="67" t="str">
        <f t="shared" si="179"/>
        <v>11,3926851017549-6,6686070709347i</v>
      </c>
      <c r="AD165" s="68">
        <f t="shared" si="180"/>
        <v>22.4120666688394</v>
      </c>
      <c r="AE165" s="31">
        <f t="shared" si="181"/>
        <v>-30.3421934510013</v>
      </c>
      <c r="AF165" s="32" t="str">
        <f t="shared" si="182"/>
        <v>75,4669735059805</v>
      </c>
      <c r="AG165" s="32" t="str">
        <f t="shared" si="164"/>
        <v>1+0,347681145963808i</v>
      </c>
      <c r="AH165" s="32">
        <f t="shared" si="183"/>
        <v>1.0587172329091</v>
      </c>
      <c r="AI165" s="32">
        <f t="shared" si="184"/>
        <v>0.33460753338234</v>
      </c>
      <c r="AJ165" s="32" t="str">
        <f t="shared" si="165"/>
        <v>1+0,000370859889028062i</v>
      </c>
      <c r="AK165" s="32">
        <f t="shared" si="185"/>
        <v>1.00000006876853</v>
      </c>
      <c r="AL165" s="32">
        <f t="shared" si="186"/>
        <v>0.000370859872025738</v>
      </c>
      <c r="AM165" s="32" t="str">
        <f t="shared" si="166"/>
        <v>1-0,00414633960997387i</v>
      </c>
      <c r="AN165" s="32">
        <f t="shared" si="187"/>
        <v>1.00000859602913</v>
      </c>
      <c r="AO165" s="32">
        <f t="shared" si="188"/>
        <v>-0.00414631584874612</v>
      </c>
      <c r="AP165" s="30" t="str">
        <f t="shared" si="189"/>
        <v>67,2399189088998-23,6629760888328i</v>
      </c>
      <c r="AQ165" s="32">
        <f t="shared" si="190"/>
        <v>37.0596142885508</v>
      </c>
      <c r="AR165" s="31">
        <f t="shared" si="191"/>
        <v>-19.3879171492944</v>
      </c>
      <c r="AS165" t="str">
        <f t="shared" si="167"/>
        <v>-0,000338461538461538</v>
      </c>
      <c r="AT165" t="str">
        <f t="shared" si="168"/>
        <v>0,000324602535069591i</v>
      </c>
      <c r="AU165">
        <f t="shared" si="192"/>
        <v>0.000324602535069591</v>
      </c>
      <c r="AV165">
        <f t="shared" si="193"/>
        <v>1.5707963267949</v>
      </c>
      <c r="AW165" t="str">
        <f t="shared" si="169"/>
        <v>1+0,0526817897681015i</v>
      </c>
      <c r="AX165">
        <f t="shared" si="194"/>
        <v>1.00138672398488</v>
      </c>
      <c r="AY165">
        <f t="shared" si="195"/>
        <v>0.0526331335957498</v>
      </c>
      <c r="AZ165" t="str">
        <f t="shared" si="170"/>
        <v>1+0,459866262394797i</v>
      </c>
      <c r="BA165">
        <f t="shared" si="196"/>
        <v>1.10067114947606</v>
      </c>
      <c r="BB165">
        <f t="shared" si="197"/>
        <v>0.431028354126206</v>
      </c>
      <c r="BC165" s="30" t="str">
        <f t="shared" si="198"/>
        <v>-0,423394260673465+1,06500046982164i</v>
      </c>
      <c r="BD165" s="32">
        <f t="shared" si="199"/>
        <v>1.18426341112634</v>
      </c>
      <c r="BE165" s="31">
        <f t="shared" si="200"/>
        <v>111.680449124317</v>
      </c>
      <c r="BF165" s="30" t="str">
        <f t="shared" si="201"/>
        <v>2,27847217785825+14,9566649464192i</v>
      </c>
      <c r="BG165" s="68">
        <f t="shared" si="202"/>
        <v>23.5963300799657</v>
      </c>
      <c r="BH165" s="31">
        <f t="shared" si="203"/>
        <v>81.3382556733158</v>
      </c>
      <c r="BI165" s="30" t="str">
        <f t="shared" si="156"/>
        <v>-3,2679151021922+81,6293134952125i</v>
      </c>
      <c r="BJ165" s="68">
        <f t="shared" si="204"/>
        <v>38.2438776996772</v>
      </c>
      <c r="BK165" s="31">
        <f t="shared" si="157"/>
        <v>92.2925319750227</v>
      </c>
      <c r="BL165" s="32">
        <f t="shared" si="205"/>
        <v>23.5963300799657</v>
      </c>
      <c r="BM165" s="31">
        <f t="shared" si="206"/>
        <v>81.3382556733158</v>
      </c>
      <c r="BO165">
        <f t="shared" si="207"/>
        <v>0</v>
      </c>
      <c r="BP165">
        <f t="shared" si="208"/>
        <v>0</v>
      </c>
    </row>
    <row r="166" spans="14:68">
      <c r="N166" s="7">
        <v>48</v>
      </c>
      <c r="O166" s="18">
        <f t="shared" si="158"/>
        <v>301.995172040202</v>
      </c>
      <c r="P166" s="86" t="str">
        <f t="shared" si="159"/>
        <v>15</v>
      </c>
      <c r="Q166" s="4" t="str">
        <f t="shared" si="160"/>
        <v>1+0,553435058108966i</v>
      </c>
      <c r="R166" s="4">
        <f t="shared" si="171"/>
        <v>1.14293060311817</v>
      </c>
      <c r="S166" s="4">
        <f t="shared" si="172"/>
        <v>0.505476665691454</v>
      </c>
      <c r="T166" s="4" t="str">
        <f t="shared" si="161"/>
        <v>1+0,000379498325560434i</v>
      </c>
      <c r="U166" s="4">
        <f t="shared" si="173"/>
        <v>1.00000007200949</v>
      </c>
      <c r="V166" s="4">
        <f t="shared" si="174"/>
        <v>0.000379498307342115</v>
      </c>
      <c r="W166" t="str">
        <f t="shared" si="162"/>
        <v>1-0,033206103486538i</v>
      </c>
      <c r="X166" s="4">
        <f t="shared" si="175"/>
        <v>1.00055117075978</v>
      </c>
      <c r="Y166" s="4">
        <f t="shared" si="176"/>
        <v>-0.0331939067033466</v>
      </c>
      <c r="Z166" t="str">
        <f t="shared" si="163"/>
        <v>0,999999351458959+0,00176195651153058i</v>
      </c>
      <c r="AA166" s="4">
        <f t="shared" si="177"/>
        <v>1.00000090370414</v>
      </c>
      <c r="AB166" s="4">
        <f t="shared" si="178"/>
        <v>0.00176195583090638</v>
      </c>
      <c r="AC166" s="67" t="str">
        <f t="shared" si="179"/>
        <v>11,2625398483008-6,75191189646564i</v>
      </c>
      <c r="AD166" s="68">
        <f t="shared" si="180"/>
        <v>22.366206815779</v>
      </c>
      <c r="AE166" s="31">
        <f t="shared" si="181"/>
        <v>-30.9427593275747</v>
      </c>
      <c r="AF166" s="32" t="str">
        <f t="shared" si="182"/>
        <v>75,4669735059805</v>
      </c>
      <c r="AG166" s="32" t="str">
        <f t="shared" si="164"/>
        <v>1+0,355779680212907i</v>
      </c>
      <c r="AH166" s="32">
        <f t="shared" si="183"/>
        <v>1.0614043437128</v>
      </c>
      <c r="AI166" s="32">
        <f t="shared" si="184"/>
        <v>0.341814447385882</v>
      </c>
      <c r="AJ166" s="32" t="str">
        <f t="shared" si="165"/>
        <v>1+0,000379498325560434i</v>
      </c>
      <c r="AK166" s="32">
        <f t="shared" si="185"/>
        <v>1.00000007200949</v>
      </c>
      <c r="AL166" s="32">
        <f t="shared" si="186"/>
        <v>0.000379498307342115</v>
      </c>
      <c r="AM166" s="32" t="str">
        <f t="shared" si="166"/>
        <v>1-0,00424292026650238i</v>
      </c>
      <c r="AN166" s="32">
        <f t="shared" si="187"/>
        <v>1.00000900114568</v>
      </c>
      <c r="AO166" s="32">
        <f t="shared" si="188"/>
        <v>-0.00424289480590051</v>
      </c>
      <c r="AP166" s="30" t="str">
        <f t="shared" si="189"/>
        <v>66,8957538963682-24,0917106901107i</v>
      </c>
      <c r="AQ166" s="32">
        <f t="shared" si="190"/>
        <v>37.037600267569</v>
      </c>
      <c r="AR166" s="31">
        <f t="shared" si="191"/>
        <v>-19.8058815257606</v>
      </c>
      <c r="AS166" t="str">
        <f t="shared" si="167"/>
        <v>-0,000338461538461538</v>
      </c>
      <c r="AT166" t="str">
        <f t="shared" si="168"/>
        <v>0,00033216349941328i</v>
      </c>
      <c r="AU166">
        <f t="shared" si="192"/>
        <v>0.00033216349941328</v>
      </c>
      <c r="AV166">
        <f t="shared" si="193"/>
        <v>1.5707963267949</v>
      </c>
      <c r="AW166" t="str">
        <f t="shared" si="169"/>
        <v>1+0,0539089062905062i</v>
      </c>
      <c r="AX166">
        <f t="shared" si="194"/>
        <v>1.00145203089186</v>
      </c>
      <c r="AY166">
        <f t="shared" si="195"/>
        <v>0.0538567743443569</v>
      </c>
      <c r="AZ166" t="str">
        <f t="shared" si="170"/>
        <v>1+0,470577923694938i</v>
      </c>
      <c r="BA166">
        <f t="shared" si="196"/>
        <v>1.10518938751195</v>
      </c>
      <c r="BB166">
        <f t="shared" si="197"/>
        <v>0.439834140708082</v>
      </c>
      <c r="BC166" s="30" t="str">
        <f t="shared" si="198"/>
        <v>-0,423339041517341+1,04178240433133i</v>
      </c>
      <c r="BD166" s="32">
        <f t="shared" si="199"/>
        <v>1.01927942623048</v>
      </c>
      <c r="BE166" s="31">
        <f t="shared" si="200"/>
        <v>112.114874080216</v>
      </c>
      <c r="BF166" s="30" t="str">
        <f t="shared" si="201"/>
        <v>2,26615018490276+14,5914637526995i</v>
      </c>
      <c r="BG166" s="68">
        <f t="shared" si="202"/>
        <v>23.3854862420095</v>
      </c>
      <c r="BH166" s="31">
        <f t="shared" si="203"/>
        <v>81.1721147526415</v>
      </c>
      <c r="BI166" s="30" t="str">
        <f t="shared" si="156"/>
        <v>-3,22126404887012+79,88978104578i</v>
      </c>
      <c r="BJ166" s="68">
        <f t="shared" si="204"/>
        <v>38.0568796937995</v>
      </c>
      <c r="BK166" s="31">
        <f t="shared" si="157"/>
        <v>92.3089925544556</v>
      </c>
      <c r="BL166" s="32">
        <f t="shared" si="205"/>
        <v>23.3854862420095</v>
      </c>
      <c r="BM166" s="31">
        <f t="shared" si="206"/>
        <v>81.1721147526415</v>
      </c>
      <c r="BO166">
        <f t="shared" si="207"/>
        <v>0</v>
      </c>
      <c r="BP166">
        <f t="shared" si="208"/>
        <v>0</v>
      </c>
    </row>
    <row r="167" spans="14:68">
      <c r="N167" s="7">
        <v>49</v>
      </c>
      <c r="O167" s="18">
        <f t="shared" si="158"/>
        <v>309.029543251359</v>
      </c>
      <c r="P167" s="86" t="str">
        <f t="shared" si="159"/>
        <v>15</v>
      </c>
      <c r="Q167" s="4" t="str">
        <f t="shared" si="160"/>
        <v>1+0,566326216645396i</v>
      </c>
      <c r="R167" s="4">
        <f t="shared" si="171"/>
        <v>1.14922816866795</v>
      </c>
      <c r="S167" s="4">
        <f t="shared" si="172"/>
        <v>0.51529127006354</v>
      </c>
      <c r="T167" s="4" t="str">
        <f t="shared" si="161"/>
        <v>1+0,000388337977128272i</v>
      </c>
      <c r="U167" s="4">
        <f t="shared" si="173"/>
        <v>1.00000007540319</v>
      </c>
      <c r="V167" s="4">
        <f t="shared" si="174"/>
        <v>0.000388337957606992</v>
      </c>
      <c r="W167" t="str">
        <f t="shared" si="162"/>
        <v>1-0,0339795729987238i</v>
      </c>
      <c r="X167" s="4">
        <f t="shared" si="175"/>
        <v>1.00057713914579</v>
      </c>
      <c r="Y167" s="4">
        <f t="shared" si="176"/>
        <v>-0.033966504317175</v>
      </c>
      <c r="Z167" t="str">
        <f t="shared" si="163"/>
        <v>0,999999320894161+0,00180299775095269i</v>
      </c>
      <c r="AA167" s="4">
        <f t="shared" si="177"/>
        <v>1.00000094629439</v>
      </c>
      <c r="AB167" s="4">
        <f t="shared" si="178"/>
        <v>0.00180299702165075</v>
      </c>
      <c r="AC167" s="67" t="str">
        <f t="shared" si="179"/>
        <v>11,1291729521747-6,83365491387948i</v>
      </c>
      <c r="AD167" s="68">
        <f t="shared" si="180"/>
        <v>22.3187038891784</v>
      </c>
      <c r="AE167" s="31">
        <f t="shared" si="181"/>
        <v>-31.5512063305835</v>
      </c>
      <c r="AF167" s="32" t="str">
        <f t="shared" si="182"/>
        <v>75,4669735059805</v>
      </c>
      <c r="AG167" s="32" t="str">
        <f t="shared" si="164"/>
        <v>1+0,364066853557755i</v>
      </c>
      <c r="AH167" s="32">
        <f t="shared" si="183"/>
        <v>1.06421082209281</v>
      </c>
      <c r="AI167" s="32">
        <f t="shared" si="184"/>
        <v>0.349151164730879</v>
      </c>
      <c r="AJ167" s="32" t="str">
        <f t="shared" si="165"/>
        <v>1+0,000388337977128272i</v>
      </c>
      <c r="AK167" s="32">
        <f t="shared" si="185"/>
        <v>1.00000007540319</v>
      </c>
      <c r="AL167" s="32">
        <f t="shared" si="186"/>
        <v>0.000388337957606992</v>
      </c>
      <c r="AM167" s="32" t="str">
        <f t="shared" si="166"/>
        <v>1-0,00434175057551787i</v>
      </c>
      <c r="AN167" s="32">
        <f t="shared" si="187"/>
        <v>1.00000942535461</v>
      </c>
      <c r="AO167" s="32">
        <f t="shared" si="188"/>
        <v>-0.00434172329400533</v>
      </c>
      <c r="AP167" s="30" t="str">
        <f t="shared" si="189"/>
        <v>66,5390799880006-24,52302557368i</v>
      </c>
      <c r="AQ167" s="32">
        <f t="shared" si="190"/>
        <v>37.0146677737764</v>
      </c>
      <c r="AR167" s="31">
        <f t="shared" si="191"/>
        <v>-20.2314004457208</v>
      </c>
      <c r="AS167" t="str">
        <f t="shared" si="167"/>
        <v>-0,000338461538461538</v>
      </c>
      <c r="AT167" t="str">
        <f t="shared" si="168"/>
        <v>0,000339900581241063i</v>
      </c>
      <c r="AU167">
        <f t="shared" si="192"/>
        <v>0.000339900581241063</v>
      </c>
      <c r="AV167">
        <f t="shared" si="193"/>
        <v>1.5707963267949</v>
      </c>
      <c r="AW167" t="str">
        <f t="shared" si="169"/>
        <v>1+0,0551646060285949i</v>
      </c>
      <c r="AX167">
        <f t="shared" si="194"/>
        <v>1.00152041105426</v>
      </c>
      <c r="AY167">
        <f t="shared" si="195"/>
        <v>0.0551087502209075</v>
      </c>
      <c r="AZ167" t="str">
        <f t="shared" si="170"/>
        <v>1+0,481539091639057i</v>
      </c>
      <c r="BA167">
        <f t="shared" si="196"/>
        <v>1.1099008499756</v>
      </c>
      <c r="BB167">
        <f t="shared" si="197"/>
        <v>0.448770111114459</v>
      </c>
      <c r="BC167" s="30" t="str">
        <f t="shared" si="198"/>
        <v>-0,423281235398052+1,01911642585359i</v>
      </c>
      <c r="BD167" s="32">
        <f t="shared" si="199"/>
        <v>0.855635925005631</v>
      </c>
      <c r="BE167" s="31">
        <f t="shared" si="200"/>
        <v>112.555134536577</v>
      </c>
      <c r="BF167" s="30" t="str">
        <f t="shared" si="201"/>
        <v>2,25351989519458+14,2344808559576i</v>
      </c>
      <c r="BG167" s="68">
        <f t="shared" si="202"/>
        <v>23.1743398141841</v>
      </c>
      <c r="BH167" s="31">
        <f t="shared" si="203"/>
        <v>81.0039282059934</v>
      </c>
      <c r="BI167" s="30" t="str">
        <f t="shared" si="156"/>
        <v>-3,17292580580575+78,1912059374826i</v>
      </c>
      <c r="BJ167" s="68">
        <f t="shared" si="204"/>
        <v>37.870303698782</v>
      </c>
      <c r="BK167" s="31">
        <f t="shared" si="157"/>
        <v>92.3237340908561</v>
      </c>
      <c r="BL167" s="32">
        <f t="shared" si="205"/>
        <v>23.1743398141841</v>
      </c>
      <c r="BM167" s="31">
        <f t="shared" si="206"/>
        <v>81.0039282059934</v>
      </c>
      <c r="BO167">
        <f t="shared" si="207"/>
        <v>0</v>
      </c>
      <c r="BP167">
        <f t="shared" si="208"/>
        <v>0</v>
      </c>
    </row>
    <row r="168" spans="14:68">
      <c r="N168" s="7">
        <v>50</v>
      </c>
      <c r="O168" s="18">
        <f t="shared" si="158"/>
        <v>316.227766016838</v>
      </c>
      <c r="P168" s="86" t="str">
        <f t="shared" si="159"/>
        <v>15</v>
      </c>
      <c r="Q168" s="4" t="str">
        <f t="shared" si="160"/>
        <v>1+0,579517648838106i</v>
      </c>
      <c r="R168" s="4">
        <f t="shared" si="171"/>
        <v>1.15578575234117</v>
      </c>
      <c r="S168" s="4">
        <f t="shared" si="172"/>
        <v>0.52522278476825</v>
      </c>
      <c r="T168" s="4" t="str">
        <f t="shared" si="161"/>
        <v>1+0,000397383530631844i</v>
      </c>
      <c r="U168" s="4">
        <f t="shared" si="173"/>
        <v>1.00000007895683</v>
      </c>
      <c r="V168" s="4">
        <f t="shared" si="174"/>
        <v>0.000397383509714415</v>
      </c>
      <c r="W168" t="str">
        <f t="shared" si="162"/>
        <v>1-0,0347710589302864i</v>
      </c>
      <c r="X168" s="4">
        <f t="shared" si="175"/>
        <v>1.00060433066179</v>
      </c>
      <c r="Y168" s="4">
        <f t="shared" si="176"/>
        <v>-0.0347570560424547</v>
      </c>
      <c r="Z168" t="str">
        <f t="shared" si="163"/>
        <v>0,999999288888889+0,00184499496364784i</v>
      </c>
      <c r="AA168" s="4">
        <f t="shared" si="177"/>
        <v>1.00000099089186</v>
      </c>
      <c r="AB168" s="4">
        <f t="shared" si="178"/>
        <v>0.00184499418218677</v>
      </c>
      <c r="AC168" s="67" t="str">
        <f t="shared" si="179"/>
        <v>10,9926099397887-6,91369046143251i</v>
      </c>
      <c r="AD168" s="68">
        <f t="shared" si="180"/>
        <v>22.2695180939695</v>
      </c>
      <c r="AE168" s="31">
        <f t="shared" si="181"/>
        <v>-32.1674234727718</v>
      </c>
      <c r="AF168" s="32" t="str">
        <f t="shared" si="182"/>
        <v>75,4669735059805</v>
      </c>
      <c r="AG168" s="32" t="str">
        <f t="shared" si="164"/>
        <v>1+0,372547059967354i</v>
      </c>
      <c r="AH168" s="32">
        <f t="shared" si="183"/>
        <v>1.06714165502539</v>
      </c>
      <c r="AI168" s="32">
        <f t="shared" si="184"/>
        <v>0.356618415145159</v>
      </c>
      <c r="AJ168" s="32" t="str">
        <f t="shared" si="165"/>
        <v>1+0,000397383530631844i</v>
      </c>
      <c r="AK168" s="32">
        <f t="shared" si="185"/>
        <v>1.00000007895683</v>
      </c>
      <c r="AL168" s="32">
        <f t="shared" si="186"/>
        <v>0.000397383509714415</v>
      </c>
      <c r="AM168" s="32" t="str">
        <f t="shared" si="166"/>
        <v>1-0,00444288293815836i</v>
      </c>
      <c r="AN168" s="32">
        <f t="shared" si="187"/>
        <v>1.0000098695557</v>
      </c>
      <c r="AO168" s="32">
        <f t="shared" si="188"/>
        <v>-0.00444285370550658</v>
      </c>
      <c r="AP168" s="30" t="str">
        <f t="shared" si="189"/>
        <v>66,169601704963-24,956592171001i</v>
      </c>
      <c r="AQ168" s="32">
        <f t="shared" si="190"/>
        <v>36.9907836314904</v>
      </c>
      <c r="AR168" s="31">
        <f t="shared" si="191"/>
        <v>-20.6645184528267</v>
      </c>
      <c r="AS168" t="str">
        <f t="shared" si="167"/>
        <v>-0,000338461538461538</v>
      </c>
      <c r="AT168" t="str">
        <f t="shared" si="168"/>
        <v>0,000347817882856134i</v>
      </c>
      <c r="AU168">
        <f t="shared" si="192"/>
        <v>0.000347817882856134</v>
      </c>
      <c r="AV168">
        <f t="shared" si="193"/>
        <v>1.5707963267949</v>
      </c>
      <c r="AW168" t="str">
        <f t="shared" si="169"/>
        <v>1+0,0564495547709897i</v>
      </c>
      <c r="AX168">
        <f t="shared" si="194"/>
        <v>1.0015920088708</v>
      </c>
      <c r="AY168">
        <f t="shared" si="195"/>
        <v>0.0563897093314745</v>
      </c>
      <c r="AZ168" t="str">
        <f t="shared" si="170"/>
        <v>1+0,492755577983486i</v>
      </c>
      <c r="BA168">
        <f t="shared" si="196"/>
        <v>1.11481301554738</v>
      </c>
      <c r="BB168">
        <f t="shared" si="197"/>
        <v>0.457835293905928</v>
      </c>
      <c r="BC168" s="30" t="str">
        <f t="shared" si="198"/>
        <v>-0,423220721878033+0,996990496697856i</v>
      </c>
      <c r="BD168" s="32">
        <f t="shared" si="199"/>
        <v>0.693371930896188</v>
      </c>
      <c r="BE168" s="31">
        <f t="shared" si="200"/>
        <v>113.001137700278</v>
      </c>
      <c r="BF168" s="30" t="str">
        <f t="shared" si="201"/>
        <v>2,24058337311781+13,8855447118045i</v>
      </c>
      <c r="BG168" s="68">
        <f t="shared" si="202"/>
        <v>22.9628900248657</v>
      </c>
      <c r="BH168" s="31">
        <f t="shared" si="203"/>
        <v>80.8337142275065</v>
      </c>
      <c r="BI168" s="30" t="str">
        <f t="shared" si="156"/>
        <v>-3,12286137550425+76,5326110243571i</v>
      </c>
      <c r="BJ168" s="68">
        <f t="shared" si="204"/>
        <v>37.6841555623866</v>
      </c>
      <c r="BK168" s="31">
        <f t="shared" si="157"/>
        <v>92.3366192474515</v>
      </c>
      <c r="BL168" s="32">
        <f t="shared" si="205"/>
        <v>22.9628900248657</v>
      </c>
      <c r="BM168" s="31">
        <f t="shared" si="206"/>
        <v>80.8337142275065</v>
      </c>
      <c r="BO168">
        <f t="shared" si="207"/>
        <v>0</v>
      </c>
      <c r="BP168">
        <f t="shared" si="208"/>
        <v>0</v>
      </c>
    </row>
    <row r="169" spans="14:68">
      <c r="N169" s="7">
        <v>51</v>
      </c>
      <c r="O169" s="18">
        <f t="shared" si="158"/>
        <v>323.593656929628</v>
      </c>
      <c r="P169" s="86" t="str">
        <f t="shared" si="159"/>
        <v>15</v>
      </c>
      <c r="Q169" s="4" t="str">
        <f t="shared" si="160"/>
        <v>1+0,593016348959052i</v>
      </c>
      <c r="R169" s="4">
        <f t="shared" si="171"/>
        <v>1.16261274297709</v>
      </c>
      <c r="S169" s="4">
        <f t="shared" si="172"/>
        <v>0.535268638231837</v>
      </c>
      <c r="T169" s="4" t="str">
        <f t="shared" si="161"/>
        <v>1+0,00040663978214335i</v>
      </c>
      <c r="U169" s="4">
        <f t="shared" si="173"/>
        <v>1.00000008267795</v>
      </c>
      <c r="V169" s="4">
        <f t="shared" si="174"/>
        <v>0.000406639759729921</v>
      </c>
      <c r="W169" t="str">
        <f t="shared" si="162"/>
        <v>1-0,0355809809375432i</v>
      </c>
      <c r="X169" s="4">
        <f t="shared" si="175"/>
        <v>1.00063280288249</v>
      </c>
      <c r="Y169" s="4">
        <f t="shared" si="176"/>
        <v>-0.0355659770853345</v>
      </c>
      <c r="Z169" t="str">
        <f t="shared" si="163"/>
        <v>0,999999255375255+0,00188797041709412i</v>
      </c>
      <c r="AA169" s="4">
        <f t="shared" si="177"/>
        <v>1.00000103759114</v>
      </c>
      <c r="AB169" s="4">
        <f t="shared" si="178"/>
        <v>0.00188796957974353</v>
      </c>
      <c r="AC169" s="67" t="str">
        <f t="shared" si="179"/>
        <v>10,8528845115847-6,99187148552784i</v>
      </c>
      <c r="AD169" s="68">
        <f t="shared" si="180"/>
        <v>22.2186100286756</v>
      </c>
      <c r="AE169" s="31">
        <f t="shared" si="181"/>
        <v>-32.7912882044015</v>
      </c>
      <c r="AF169" s="32" t="str">
        <f t="shared" si="182"/>
        <v>75,4669735059805</v>
      </c>
      <c r="AG169" s="32" t="str">
        <f t="shared" si="164"/>
        <v>1+0,381224795759391i</v>
      </c>
      <c r="AH169" s="32">
        <f t="shared" si="183"/>
        <v>1.07020201125852</v>
      </c>
      <c r="AI169" s="32">
        <f t="shared" si="184"/>
        <v>0.364216825898495</v>
      </c>
      <c r="AJ169" s="32" t="str">
        <f t="shared" si="165"/>
        <v>1+0,00040663978214335i</v>
      </c>
      <c r="AK169" s="32">
        <f t="shared" si="185"/>
        <v>1.00000008267795</v>
      </c>
      <c r="AL169" s="32">
        <f t="shared" si="186"/>
        <v>0.000406639759729921</v>
      </c>
      <c r="AM169" s="32" t="str">
        <f t="shared" si="166"/>
        <v>1-0,00454637097614118i</v>
      </c>
      <c r="AN169" s="32">
        <f t="shared" si="187"/>
        <v>1.00001033469112</v>
      </c>
      <c r="AO169" s="32">
        <f t="shared" si="188"/>
        <v>-0.00454633965280793</v>
      </c>
      <c r="AP169" s="30" t="str">
        <f t="shared" si="189"/>
        <v>65,7870300997675-25,3920600977401i</v>
      </c>
      <c r="AQ169" s="32">
        <f t="shared" si="190"/>
        <v>36.965913899004</v>
      </c>
      <c r="AR169" s="31">
        <f t="shared" si="191"/>
        <v>-21.105274283959</v>
      </c>
      <c r="AS169" t="str">
        <f t="shared" si="167"/>
        <v>-0,000338461538461538</v>
      </c>
      <c r="AT169" t="str">
        <f t="shared" si="168"/>
        <v>0,00035591960211661i</v>
      </c>
      <c r="AU169">
        <f t="shared" si="192"/>
        <v>0.00035591960211661</v>
      </c>
      <c r="AV169">
        <f t="shared" si="193"/>
        <v>1.5707963267949</v>
      </c>
      <c r="AW169" t="str">
        <f t="shared" si="169"/>
        <v>1+0,0577644338145223i</v>
      </c>
      <c r="AX169">
        <f t="shared" si="194"/>
        <v>1.00166697550329</v>
      </c>
      <c r="AY169">
        <f t="shared" si="195"/>
        <v>0.0577003140330538</v>
      </c>
      <c r="AZ169" t="str">
        <f t="shared" si="170"/>
        <v>1+0,504233329857754i</v>
      </c>
      <c r="BA169">
        <f t="shared" si="196"/>
        <v>1.11993359220064</v>
      </c>
      <c r="BB169">
        <f t="shared" si="197"/>
        <v>0.467028534953152</v>
      </c>
      <c r="BC169" s="30" t="str">
        <f t="shared" si="198"/>
        <v>-0,423157374985653+0,975392864107314i</v>
      </c>
      <c r="BD169" s="32">
        <f t="shared" si="199"/>
        <v>0.532526656797544</v>
      </c>
      <c r="BE169" s="31">
        <f t="shared" si="200"/>
        <v>113.45277949432</v>
      </c>
      <c r="BF169" s="30" t="str">
        <f t="shared" si="201"/>
        <v>2,22734343279463+13,5444880916335i</v>
      </c>
      <c r="BG169" s="68">
        <f t="shared" si="202"/>
        <v>22.7511366854732</v>
      </c>
      <c r="BH169" s="31">
        <f t="shared" si="203"/>
        <v>80.6614912899187</v>
      </c>
      <c r="BI169" s="30" t="str">
        <f t="shared" si="156"/>
        <v>-3,0710327408+74,9130372065639i</v>
      </c>
      <c r="BJ169" s="68">
        <f t="shared" si="204"/>
        <v>37.4984405558016</v>
      </c>
      <c r="BK169" s="31">
        <f t="shared" si="157"/>
        <v>92.3475052103612</v>
      </c>
      <c r="BL169" s="32">
        <f t="shared" si="205"/>
        <v>22.7511366854732</v>
      </c>
      <c r="BM169" s="31">
        <f t="shared" si="206"/>
        <v>80.6614912899187</v>
      </c>
      <c r="BO169">
        <f t="shared" si="207"/>
        <v>0</v>
      </c>
      <c r="BP169">
        <f t="shared" si="208"/>
        <v>0</v>
      </c>
    </row>
    <row r="170" spans="14:68">
      <c r="N170" s="7">
        <v>52</v>
      </c>
      <c r="O170" s="18">
        <f t="shared" si="158"/>
        <v>331.131121482591</v>
      </c>
      <c r="P170" s="86" t="str">
        <f t="shared" si="159"/>
        <v>15</v>
      </c>
      <c r="Q170" s="4" t="str">
        <f t="shared" si="160"/>
        <v>1+0,606829474197718i</v>
      </c>
      <c r="R170" s="4">
        <f t="shared" si="171"/>
        <v>1.16971877421673</v>
      </c>
      <c r="S170" s="4">
        <f t="shared" si="172"/>
        <v>0.545426045779561</v>
      </c>
      <c r="T170" s="4" t="str">
        <f t="shared" si="161"/>
        <v>1+0,000416111639449864i</v>
      </c>
      <c r="U170" s="4">
        <f t="shared" si="173"/>
        <v>1.00000008657444</v>
      </c>
      <c r="V170" s="4">
        <f t="shared" si="174"/>
        <v>0.000416111615433443</v>
      </c>
      <c r="W170" t="str">
        <f t="shared" si="162"/>
        <v>1-0,0364097684518631i</v>
      </c>
      <c r="X170" s="4">
        <f t="shared" si="175"/>
        <v>1.00066261608932</v>
      </c>
      <c r="Y170" s="4">
        <f t="shared" si="176"/>
        <v>-0.0363936921094789</v>
      </c>
      <c r="Z170" t="str">
        <f t="shared" si="163"/>
        <v>0,999999220282172+0,00193194689744579i</v>
      </c>
      <c r="AA170" s="4">
        <f t="shared" si="177"/>
        <v>1.00000108649129</v>
      </c>
      <c r="AB170" s="4">
        <f t="shared" si="178"/>
        <v>0.00193194600020851</v>
      </c>
      <c r="AC170" s="67" t="str">
        <f t="shared" si="179"/>
        <v>10,7100388039627-7,06805005359737i</v>
      </c>
      <c r="AD170" s="68">
        <f t="shared" si="180"/>
        <v>22.1659407906924</v>
      </c>
      <c r="AE170" s="31">
        <f t="shared" si="181"/>
        <v>-33.4226663311382</v>
      </c>
      <c r="AF170" s="32" t="str">
        <f t="shared" si="182"/>
        <v>75,4669735059805</v>
      </c>
      <c r="AG170" s="32" t="str">
        <f t="shared" si="164"/>
        <v>1+0,390104661984248i</v>
      </c>
      <c r="AH170" s="32">
        <f t="shared" si="183"/>
        <v>1.07339724580504</v>
      </c>
      <c r="AI170" s="32">
        <f t="shared" si="184"/>
        <v>0.371946915160953</v>
      </c>
      <c r="AJ170" s="32" t="str">
        <f t="shared" si="165"/>
        <v>1+0,000416111639449864i</v>
      </c>
      <c r="AK170" s="32">
        <f t="shared" si="185"/>
        <v>1.00000008657444</v>
      </c>
      <c r="AL170" s="32">
        <f t="shared" si="186"/>
        <v>0.000416111615433443</v>
      </c>
      <c r="AM170" s="32" t="str">
        <f t="shared" si="166"/>
        <v>1-0,00465226956019389i</v>
      </c>
      <c r="AN170" s="32">
        <f t="shared" si="187"/>
        <v>1.00001082174748</v>
      </c>
      <c r="AO170" s="32">
        <f t="shared" si="188"/>
        <v>-0.00465223599665723</v>
      </c>
      <c r="AP170" s="30" t="str">
        <f t="shared" si="189"/>
        <v>65,3910841315097-25,8290567894781i</v>
      </c>
      <c r="AQ170" s="32">
        <f t="shared" si="190"/>
        <v>36.9400238875121</v>
      </c>
      <c r="AR170" s="31">
        <f t="shared" si="191"/>
        <v>-21.5537004901697</v>
      </c>
      <c r="AS170" t="str">
        <f t="shared" si="167"/>
        <v>-0,000338461538461538</v>
      </c>
      <c r="AT170" t="str">
        <f t="shared" si="168"/>
        <v>0,000364210034661282i</v>
      </c>
      <c r="AU170">
        <f t="shared" si="192"/>
        <v>0.000364210034661282</v>
      </c>
      <c r="AV170">
        <f t="shared" si="193"/>
        <v>1.5707963267949</v>
      </c>
      <c r="AW170" t="str">
        <f t="shared" si="169"/>
        <v>1+0,0591099403254663i</v>
      </c>
      <c r="AX170">
        <f t="shared" si="194"/>
        <v>1.00174546919129</v>
      </c>
      <c r="AY170">
        <f t="shared" si="195"/>
        <v>0.0590412412057696</v>
      </c>
      <c r="AZ170" t="str">
        <f t="shared" si="170"/>
        <v>1+0,515978432917831i</v>
      </c>
      <c r="BA170">
        <f t="shared" si="196"/>
        <v>1.12527052002456</v>
      </c>
      <c r="BB170">
        <f t="shared" si="197"/>
        <v>0.476348491906864</v>
      </c>
      <c r="BC170" s="30" t="str">
        <f t="shared" si="198"/>
        <v>-0,423091062967942+0,954312053928629i</v>
      </c>
      <c r="BD170" s="32">
        <f t="shared" si="199"/>
        <v>0.373139428491794</v>
      </c>
      <c r="BE170" s="31">
        <f t="shared" si="200"/>
        <v>113.90994422538</v>
      </c>
      <c r="BF170" s="30" t="str">
        <f t="shared" si="201"/>
        <v>2,21380366192238+13,2111479389521i</v>
      </c>
      <c r="BG170" s="68">
        <f t="shared" si="202"/>
        <v>22.5390802191842</v>
      </c>
      <c r="BH170" s="31">
        <f t="shared" si="203"/>
        <v>80.4872778942423</v>
      </c>
      <c r="BI170" s="30" t="str">
        <f t="shared" si="156"/>
        <v>-3,01740305802052+73,3315428986804i</v>
      </c>
      <c r="BJ170" s="68">
        <f t="shared" si="204"/>
        <v>37.3131633160039</v>
      </c>
      <c r="BK170" s="31">
        <f t="shared" si="157"/>
        <v>92.3562437352107</v>
      </c>
      <c r="BL170" s="32">
        <f t="shared" si="205"/>
        <v>22.5390802191842</v>
      </c>
      <c r="BM170" s="31">
        <f t="shared" si="206"/>
        <v>80.4872778942423</v>
      </c>
      <c r="BO170">
        <f t="shared" si="207"/>
        <v>0</v>
      </c>
      <c r="BP170">
        <f t="shared" si="208"/>
        <v>0</v>
      </c>
    </row>
    <row r="171" spans="14:68">
      <c r="N171" s="7">
        <v>53</v>
      </c>
      <c r="O171" s="18">
        <f t="shared" si="158"/>
        <v>338.844156139203</v>
      </c>
      <c r="P171" s="86" t="str">
        <f t="shared" si="159"/>
        <v>15</v>
      </c>
      <c r="Q171" s="4" t="str">
        <f t="shared" si="160"/>
        <v>1+0,620964348455937i</v>
      </c>
      <c r="R171" s="4">
        <f t="shared" si="171"/>
        <v>1.17711372519961</v>
      </c>
      <c r="S171" s="4">
        <f t="shared" si="172"/>
        <v>0.55569200875739</v>
      </c>
      <c r="T171" s="4" t="str">
        <f t="shared" si="161"/>
        <v>1+0,0004258041246555i</v>
      </c>
      <c r="U171" s="4">
        <f t="shared" si="173"/>
        <v>1.00000009065457</v>
      </c>
      <c r="V171" s="4">
        <f t="shared" si="174"/>
        <v>0.000425804098921441</v>
      </c>
      <c r="W171" t="str">
        <f t="shared" si="162"/>
        <v>1-0,0372578609073563i</v>
      </c>
      <c r="X171" s="4">
        <f t="shared" si="175"/>
        <v>1.0006938333973</v>
      </c>
      <c r="Y171" s="4">
        <f t="shared" si="176"/>
        <v>-0.0372406354411379</v>
      </c>
      <c r="Z171" t="str">
        <f t="shared" si="163"/>
        <v>0,999999183535202+0,00197694772161482i</v>
      </c>
      <c r="AA171" s="4">
        <f t="shared" si="177"/>
        <v>1.00000113769603</v>
      </c>
      <c r="AB171" s="4">
        <f t="shared" si="178"/>
        <v>0.00197694676020781</v>
      </c>
      <c r="AC171" s="67" t="str">
        <f t="shared" si="179"/>
        <v>10,5641236162427-7,14207790071917i</v>
      </c>
      <c r="AD171" s="68">
        <f t="shared" si="180"/>
        <v>22.1114720846877</v>
      </c>
      <c r="AE171" s="31">
        <f t="shared" si="181"/>
        <v>-34.061411976022</v>
      </c>
      <c r="AF171" s="32" t="str">
        <f t="shared" si="182"/>
        <v>75,4669735059805</v>
      </c>
      <c r="AG171" s="32" t="str">
        <f t="shared" si="164"/>
        <v>1+0,399191366864531i</v>
      </c>
      <c r="AH171" s="32">
        <f t="shared" si="183"/>
        <v>1.07673290438213</v>
      </c>
      <c r="AI171" s="32">
        <f t="shared" si="184"/>
        <v>0.379809085262597</v>
      </c>
      <c r="AJ171" s="32" t="str">
        <f t="shared" si="165"/>
        <v>1+0,0004258041246555i</v>
      </c>
      <c r="AK171" s="32">
        <f t="shared" si="185"/>
        <v>1.00000009065457</v>
      </c>
      <c r="AL171" s="32">
        <f t="shared" si="186"/>
        <v>0.000425804098921441</v>
      </c>
      <c r="AM171" s="32" t="str">
        <f t="shared" si="166"/>
        <v>1-0,00476063483914746i</v>
      </c>
      <c r="AN171" s="32">
        <f t="shared" si="187"/>
        <v>1.00001133175783</v>
      </c>
      <c r="AO171" s="32">
        <f t="shared" si="188"/>
        <v>-0.00476059887519199</v>
      </c>
      <c r="AP171" s="30" t="str">
        <f t="shared" si="189"/>
        <v>64,9814921173263-26,2671872138957i</v>
      </c>
      <c r="AQ171" s="32">
        <f t="shared" si="190"/>
        <v>36.9130781837451</v>
      </c>
      <c r="AR171" s="31">
        <f t="shared" si="191"/>
        <v>-22.0098230520069</v>
      </c>
      <c r="AS171" t="str">
        <f t="shared" si="167"/>
        <v>-0,000338461538461538</v>
      </c>
      <c r="AT171" t="str">
        <f t="shared" si="168"/>
        <v>0,00037269357618722i</v>
      </c>
      <c r="AU171">
        <f t="shared" si="192"/>
        <v>0.00037269357618722</v>
      </c>
      <c r="AV171">
        <f t="shared" si="193"/>
        <v>1.5707963267949</v>
      </c>
      <c r="AW171" t="str">
        <f t="shared" si="169"/>
        <v>1+0,060486787709183i</v>
      </c>
      <c r="AX171">
        <f t="shared" si="194"/>
        <v>1.00182765558123</v>
      </c>
      <c r="AY171">
        <f t="shared" si="195"/>
        <v>0.0604131825272339</v>
      </c>
      <c r="AZ171" t="str">
        <f t="shared" si="170"/>
        <v>1+0,52799711457282i</v>
      </c>
      <c r="BA171">
        <f t="shared" si="196"/>
        <v>1.13083197381274</v>
      </c>
      <c r="BB171">
        <f t="shared" si="197"/>
        <v>0.485793629054077</v>
      </c>
      <c r="BC171" s="30" t="str">
        <f t="shared" si="198"/>
        <v>-0,423021648032977+0,933736864422477i</v>
      </c>
      <c r="BD171" s="32">
        <f t="shared" si="199"/>
        <v>0.215249603087231</v>
      </c>
      <c r="BE171" s="31">
        <f t="shared" si="200"/>
        <v>114.372504273379</v>
      </c>
      <c r="BF171" s="30" t="str">
        <f t="shared" si="201"/>
        <v>2,19996844231151+12,885365224744i</v>
      </c>
      <c r="BG171" s="68">
        <f t="shared" si="202"/>
        <v>22.326721687775</v>
      </c>
      <c r="BH171" s="31">
        <f t="shared" si="203"/>
        <v>80.3110922973566</v>
      </c>
      <c r="BI171" s="30" t="str">
        <f t="shared" si="156"/>
        <v>-2,96193686081212+71,7872035195391i</v>
      </c>
      <c r="BJ171" s="68">
        <f t="shared" si="204"/>
        <v>37.1283277868323</v>
      </c>
      <c r="BK171" s="31">
        <f t="shared" si="157"/>
        <v>92.3626812213717</v>
      </c>
      <c r="BL171" s="32">
        <f t="shared" si="205"/>
        <v>22.326721687775</v>
      </c>
      <c r="BM171" s="31">
        <f t="shared" si="206"/>
        <v>80.3110922973566</v>
      </c>
      <c r="BO171">
        <f t="shared" si="207"/>
        <v>0</v>
      </c>
      <c r="BP171">
        <f t="shared" si="208"/>
        <v>0</v>
      </c>
    </row>
    <row r="172" spans="14:68">
      <c r="N172" s="7">
        <v>54</v>
      </c>
      <c r="O172" s="18">
        <f t="shared" si="158"/>
        <v>346.736850452532</v>
      </c>
      <c r="P172" s="86" t="str">
        <f t="shared" si="159"/>
        <v>15</v>
      </c>
      <c r="Q172" s="4" t="str">
        <f t="shared" si="160"/>
        <v>1+0,635428466231145i</v>
      </c>
      <c r="R172" s="4">
        <f t="shared" si="171"/>
        <v>1.18480772098128</v>
      </c>
      <c r="S172" s="4">
        <f t="shared" si="172"/>
        <v>0.566063314466329</v>
      </c>
      <c r="T172" s="4" t="str">
        <f t="shared" si="161"/>
        <v>1+0,000435722376844214i</v>
      </c>
      <c r="U172" s="4">
        <f t="shared" si="173"/>
        <v>1.00000009492699</v>
      </c>
      <c r="V172" s="4">
        <f t="shared" si="174"/>
        <v>0.000435722349269673</v>
      </c>
      <c r="W172" t="str">
        <f t="shared" si="162"/>
        <v>1-0,0381257079738688i</v>
      </c>
      <c r="X172" s="4">
        <f t="shared" si="175"/>
        <v>1.00072652088795</v>
      </c>
      <c r="Y172" s="4">
        <f t="shared" si="176"/>
        <v>-0.0381072512779142</v>
      </c>
      <c r="Z172" t="str">
        <f t="shared" si="163"/>
        <v>0,999999145056402+0,00202299674963385i</v>
      </c>
      <c r="AA172" s="4">
        <f t="shared" si="177"/>
        <v>1.00000119131398</v>
      </c>
      <c r="AB172" s="4">
        <f t="shared" si="178"/>
        <v>0.00202299571946773</v>
      </c>
      <c r="AC172" s="67" t="str">
        <f t="shared" si="179"/>
        <v>10,4151985985099-7,21380700758229i</v>
      </c>
      <c r="AD172" s="68">
        <f t="shared" si="180"/>
        <v>22.0551663336578</v>
      </c>
      <c r="AE172" s="31">
        <f t="shared" si="181"/>
        <v>-34.7073675882222</v>
      </c>
      <c r="AF172" s="32" t="str">
        <f t="shared" si="182"/>
        <v>75,4669735059805</v>
      </c>
      <c r="AG172" s="32" t="str">
        <f t="shared" si="164"/>
        <v>1+0,408489728291451i</v>
      </c>
      <c r="AH172" s="32">
        <f t="shared" si="183"/>
        <v>1.08021472778315</v>
      </c>
      <c r="AI172" s="32">
        <f t="shared" si="184"/>
        <v>0.38780361587904</v>
      </c>
      <c r="AJ172" s="32" t="str">
        <f t="shared" si="165"/>
        <v>1+0,000435722376844214i</v>
      </c>
      <c r="AK172" s="32">
        <f t="shared" si="185"/>
        <v>1.00000009492699</v>
      </c>
      <c r="AL172" s="32">
        <f t="shared" si="186"/>
        <v>0.000435722349269673</v>
      </c>
      <c r="AM172" s="32" t="str">
        <f t="shared" si="166"/>
        <v>1-0,00487152426970721i</v>
      </c>
      <c r="AN172" s="32">
        <f t="shared" si="187"/>
        <v>1.00001186580396</v>
      </c>
      <c r="AO172" s="32">
        <f t="shared" si="188"/>
        <v>-0.00487148573365932</v>
      </c>
      <c r="AP172" s="30" t="str">
        <f t="shared" si="189"/>
        <v>64,5579932575206-26,7060336687324i</v>
      </c>
      <c r="AQ172" s="32">
        <f t="shared" si="190"/>
        <v>36.8850406765059</v>
      </c>
      <c r="AR172" s="31">
        <f t="shared" si="191"/>
        <v>-22.4736609906258</v>
      </c>
      <c r="AS172" t="str">
        <f t="shared" si="167"/>
        <v>-0,000338461538461538</v>
      </c>
      <c r="AT172" t="str">
        <f t="shared" si="168"/>
        <v>0,000381374724780436i</v>
      </c>
      <c r="AU172">
        <f t="shared" si="192"/>
        <v>0.000381374724780436</v>
      </c>
      <c r="AV172">
        <f t="shared" si="193"/>
        <v>1.5707963267949</v>
      </c>
      <c r="AW172" t="str">
        <f t="shared" si="169"/>
        <v>1+0,0618957059883806i</v>
      </c>
      <c r="AX172">
        <f t="shared" si="194"/>
        <v>1.00191370807061</v>
      </c>
      <c r="AY172">
        <f t="shared" si="195"/>
        <v>0.061816844748826</v>
      </c>
      <c r="AZ172" t="str">
        <f t="shared" si="170"/>
        <v>1+0,540295747286825i</v>
      </c>
      <c r="BA172">
        <f t="shared" si="196"/>
        <v>1.13662636540608</v>
      </c>
      <c r="BB172">
        <f t="shared" si="197"/>
        <v>0.495362212614943</v>
      </c>
      <c r="BC172" s="30" t="str">
        <f t="shared" si="198"/>
        <v>-0,422948986081491+0,913656360211187i</v>
      </c>
      <c r="BD172" s="32">
        <f t="shared" si="199"/>
        <v>0.058896482564467</v>
      </c>
      <c r="BE172" s="31">
        <f t="shared" si="200"/>
        <v>114.840319806175</v>
      </c>
      <c r="BF172" s="30" t="str">
        <f t="shared" si="201"/>
        <v>2,18584296673646+12,5669848020357i</v>
      </c>
      <c r="BG172" s="68">
        <f t="shared" si="202"/>
        <v>22.1140628162223</v>
      </c>
      <c r="BH172" s="31">
        <f t="shared" si="203"/>
        <v>80.1329522179531</v>
      </c>
      <c r="BI172" s="30" t="str">
        <f t="shared" si="156"/>
        <v>-2,90460027427261+70,2791110046531i</v>
      </c>
      <c r="BJ172" s="68">
        <f t="shared" si="204"/>
        <v>36.9439371590704</v>
      </c>
      <c r="BK172" s="31">
        <f t="shared" si="157"/>
        <v>92.3666588155495</v>
      </c>
      <c r="BL172" s="32">
        <f t="shared" si="205"/>
        <v>22.1140628162223</v>
      </c>
      <c r="BM172" s="31">
        <f t="shared" si="206"/>
        <v>80.1329522179531</v>
      </c>
      <c r="BO172">
        <f t="shared" si="207"/>
        <v>0</v>
      </c>
      <c r="BP172">
        <f t="shared" si="208"/>
        <v>0</v>
      </c>
    </row>
    <row r="173" spans="14:68">
      <c r="N173" s="7">
        <v>55</v>
      </c>
      <c r="O173" s="18">
        <f t="shared" si="158"/>
        <v>354.813389233576</v>
      </c>
      <c r="P173" s="86" t="str">
        <f t="shared" si="159"/>
        <v>15</v>
      </c>
      <c r="Q173" s="4" t="str">
        <f t="shared" si="160"/>
        <v>1+0,650229496590038i</v>
      </c>
      <c r="R173" s="4">
        <f t="shared" si="171"/>
        <v>1.19281113267597</v>
      </c>
      <c r="S173" s="4">
        <f t="shared" si="172"/>
        <v>0.576536536952545</v>
      </c>
      <c r="T173" s="4" t="str">
        <f t="shared" si="161"/>
        <v>1+0,000445871654804598i</v>
      </c>
      <c r="U173" s="4">
        <f t="shared" si="173"/>
        <v>1.00000009940076</v>
      </c>
      <c r="V173" s="4">
        <f t="shared" si="174"/>
        <v>0.000445871625257945</v>
      </c>
      <c r="W173" t="str">
        <f t="shared" si="162"/>
        <v>1-0,0390137697954024i</v>
      </c>
      <c r="X173" s="4">
        <f t="shared" si="175"/>
        <v>1.00076074774826</v>
      </c>
      <c r="Y173" s="4">
        <f t="shared" si="176"/>
        <v>-0.0389939939012363</v>
      </c>
      <c r="Z173" t="str">
        <f t="shared" si="163"/>
        <v>0,999999104764152+0,00207011839730706i</v>
      </c>
      <c r="AA173" s="4">
        <f t="shared" si="177"/>
        <v>1.00000124745886</v>
      </c>
      <c r="AB173" s="4">
        <f t="shared" si="178"/>
        <v>0.00207011729346423</v>
      </c>
      <c r="AC173" s="67" t="str">
        <f t="shared" si="179"/>
        <v>10,2633323963369-7,28309020688943i</v>
      </c>
      <c r="AD173" s="68">
        <f t="shared" si="180"/>
        <v>21.9969867921281</v>
      </c>
      <c r="AE173" s="31">
        <f t="shared" si="181"/>
        <v>-35.3603640010493</v>
      </c>
      <c r="AF173" s="32" t="str">
        <f t="shared" si="182"/>
        <v>75,4669735059805</v>
      </c>
      <c r="AG173" s="32" t="str">
        <f t="shared" si="164"/>
        <v>1+0,418004676379311i</v>
      </c>
      <c r="AH173" s="32">
        <f t="shared" si="183"/>
        <v>1.08384865616698</v>
      </c>
      <c r="AI173" s="32">
        <f t="shared" si="184"/>
        <v>0.395930657170118</v>
      </c>
      <c r="AJ173" s="32" t="str">
        <f t="shared" si="165"/>
        <v>1+0,000445871654804598i</v>
      </c>
      <c r="AK173" s="32">
        <f t="shared" si="185"/>
        <v>1.00000009940076</v>
      </c>
      <c r="AL173" s="32">
        <f t="shared" si="186"/>
        <v>0.000445871625257945</v>
      </c>
      <c r="AM173" s="32" t="str">
        <f t="shared" si="166"/>
        <v>1-0,00498499664691701i</v>
      </c>
      <c r="AN173" s="32">
        <f t="shared" si="187"/>
        <v>1.00001242501859</v>
      </c>
      <c r="AO173" s="32">
        <f t="shared" si="188"/>
        <v>-0.00498495535482546</v>
      </c>
      <c r="AP173" s="30" t="str">
        <f t="shared" si="189"/>
        <v>64,1203392308485-27,1451556750426i</v>
      </c>
      <c r="AQ173" s="32">
        <f t="shared" si="190"/>
        <v>36.8558745872994</v>
      </c>
      <c r="AR173" s="31">
        <f t="shared" si="191"/>
        <v>-22.9452259762496</v>
      </c>
      <c r="AS173" t="str">
        <f t="shared" si="167"/>
        <v>-0,000338461538461538</v>
      </c>
      <c r="AT173" t="str">
        <f t="shared" si="168"/>
        <v>0,000390258083300821i</v>
      </c>
      <c r="AU173">
        <f t="shared" si="192"/>
        <v>0.000390258083300821</v>
      </c>
      <c r="AV173">
        <f t="shared" si="193"/>
        <v>1.5707963267949</v>
      </c>
      <c r="AW173" t="str">
        <f t="shared" si="169"/>
        <v>1+0,0633374421901798i</v>
      </c>
      <c r="AX173">
        <f t="shared" si="194"/>
        <v>1.00200380816801</v>
      </c>
      <c r="AY173">
        <f t="shared" si="195"/>
        <v>0.063252949973621</v>
      </c>
      <c r="AZ173" t="str">
        <f t="shared" si="170"/>
        <v>1+0,552880851957701i</v>
      </c>
      <c r="BA173">
        <f t="shared" si="196"/>
        <v>1.14266234577913</v>
      </c>
      <c r="BB173">
        <f t="shared" si="197"/>
        <v>0.505052306535416</v>
      </c>
      <c r="BC173" s="30" t="str">
        <f t="shared" si="198"/>
        <v>-0,42287292642741+0,894059866359845i</v>
      </c>
      <c r="BD173" s="32">
        <f t="shared" si="199"/>
        <v>-0.0958807774217799</v>
      </c>
      <c r="BE173" s="31">
        <f t="shared" si="200"/>
        <v>115.313238522586</v>
      </c>
      <c r="BF173" s="30" t="str">
        <f t="shared" si="201"/>
        <v>2,17143325172203+12,2558552598978i</v>
      </c>
      <c r="BG173" s="68">
        <f t="shared" si="202"/>
        <v>21.9011060147064</v>
      </c>
      <c r="BH173" s="31">
        <f t="shared" si="203"/>
        <v>79.9528745215371</v>
      </c>
      <c r="BI173" s="30" t="str">
        <f t="shared" si="156"/>
        <v>-2,84536123892139+68,8063733423132i</v>
      </c>
      <c r="BJ173" s="68">
        <f t="shared" si="204"/>
        <v>36.7599938098776</v>
      </c>
      <c r="BK173" s="31">
        <f t="shared" si="157"/>
        <v>92.3680125463367</v>
      </c>
      <c r="BL173" s="32">
        <f t="shared" si="205"/>
        <v>21.9011060147064</v>
      </c>
      <c r="BM173" s="31">
        <f t="shared" si="206"/>
        <v>79.9528745215371</v>
      </c>
      <c r="BO173">
        <f t="shared" si="207"/>
        <v>0</v>
      </c>
      <c r="BP173">
        <f t="shared" si="208"/>
        <v>0</v>
      </c>
    </row>
    <row r="174" spans="14:68">
      <c r="N174" s="7">
        <v>56</v>
      </c>
      <c r="O174" s="18">
        <f t="shared" si="158"/>
        <v>363.078054770102</v>
      </c>
      <c r="P174" s="86" t="str">
        <f t="shared" si="159"/>
        <v>15</v>
      </c>
      <c r="Q174" s="4" t="str">
        <f t="shared" si="160"/>
        <v>1+0,665375287234831i</v>
      </c>
      <c r="R174" s="4">
        <f t="shared" si="171"/>
        <v>1.20113457733213</v>
      </c>
      <c r="S174" s="4">
        <f t="shared" si="172"/>
        <v>0.587108038692015</v>
      </c>
      <c r="T174" s="4" t="str">
        <f t="shared" si="161"/>
        <v>1+0,00045625733981817i</v>
      </c>
      <c r="U174" s="4">
        <f t="shared" si="173"/>
        <v>1.00000010408537</v>
      </c>
      <c r="V174" s="4">
        <f t="shared" si="174"/>
        <v>0.000456257308158362</v>
      </c>
      <c r="W174" t="str">
        <f t="shared" si="162"/>
        <v>1-0,0399225172340899i</v>
      </c>
      <c r="X174" s="4">
        <f t="shared" si="175"/>
        <v>1.00079658641619</v>
      </c>
      <c r="Y174" s="4">
        <f t="shared" si="176"/>
        <v>-0.0399013278925434</v>
      </c>
      <c r="Z174" t="str">
        <f t="shared" si="163"/>
        <v>0,999999062572986+0,00211833764915578i</v>
      </c>
      <c r="AA174" s="4">
        <f t="shared" si="177"/>
        <v>1.00000130624977</v>
      </c>
      <c r="AB174" s="4">
        <f t="shared" si="178"/>
        <v>0.00211833646636694</v>
      </c>
      <c r="AC174" s="67" t="str">
        <f t="shared" si="179"/>
        <v>10,1086027485709-7,34978181476142i</v>
      </c>
      <c r="AD174" s="68">
        <f t="shared" si="180"/>
        <v>21.9368976609325</v>
      </c>
      <c r="AE174" s="31">
        <f t="shared" si="181"/>
        <v>-36.0202205414481</v>
      </c>
      <c r="AF174" s="32" t="str">
        <f t="shared" si="182"/>
        <v>75,4669735059805</v>
      </c>
      <c r="AG174" s="32" t="str">
        <f t="shared" si="164"/>
        <v>1+0,427741256079535i</v>
      </c>
      <c r="AH174" s="32">
        <f t="shared" si="183"/>
        <v>1.08764083324988</v>
      </c>
      <c r="AI174" s="32">
        <f t="shared" si="184"/>
        <v>0.40419022290198</v>
      </c>
      <c r="AJ174" s="32" t="str">
        <f t="shared" si="165"/>
        <v>1+0,00045625733981817i</v>
      </c>
      <c r="AK174" s="32">
        <f t="shared" si="185"/>
        <v>1.00000010408537</v>
      </c>
      <c r="AL174" s="32">
        <f t="shared" si="186"/>
        <v>0.000456257308158362</v>
      </c>
      <c r="AM174" s="32" t="str">
        <f t="shared" si="166"/>
        <v>1-0,00510111213533325i</v>
      </c>
      <c r="AN174" s="32">
        <f t="shared" si="187"/>
        <v>1.00001301058787</v>
      </c>
      <c r="AO174" s="32">
        <f t="shared" si="188"/>
        <v>-0.00510106789009109</v>
      </c>
      <c r="AP174" s="30" t="str">
        <f t="shared" si="189"/>
        <v>63,6682958554118-27,5840899754295i</v>
      </c>
      <c r="AQ174" s="32">
        <f t="shared" si="190"/>
        <v>36.8255425052311</v>
      </c>
      <c r="AR174" s="31">
        <f t="shared" si="191"/>
        <v>-23.4245219357179</v>
      </c>
      <c r="AS174" t="str">
        <f t="shared" si="167"/>
        <v>-0,000338461538461538</v>
      </c>
      <c r="AT174" t="str">
        <f t="shared" si="168"/>
        <v>0,000399348361822649i</v>
      </c>
      <c r="AU174">
        <f t="shared" si="192"/>
        <v>0.000399348361822649</v>
      </c>
      <c r="AV174">
        <f t="shared" si="193"/>
        <v>1.5707963267949</v>
      </c>
      <c r="AW174" t="str">
        <f t="shared" si="169"/>
        <v>1+0,0648127607421986i</v>
      </c>
      <c r="AX174">
        <f t="shared" si="194"/>
        <v>1.00209814586947</v>
      </c>
      <c r="AY174">
        <f t="shared" si="195"/>
        <v>0.0647222359356832</v>
      </c>
      <c r="AZ174" t="str">
        <f t="shared" si="170"/>
        <v>1+0,565759101374531i</v>
      </c>
      <c r="BA174">
        <f t="shared" si="196"/>
        <v>1.14894880686135</v>
      </c>
      <c r="BB174">
        <f t="shared" si="197"/>
        <v>0.514861768831197</v>
      </c>
      <c r="BC174" s="30" t="str">
        <f t="shared" si="198"/>
        <v>-0,422793311506872+0,874936962587118i</v>
      </c>
      <c r="BD174" s="32">
        <f t="shared" si="199"/>
        <v>-0.249043263289451</v>
      </c>
      <c r="BE174" s="31">
        <f t="shared" si="200"/>
        <v>115.791095426903</v>
      </c>
      <c r="BF174" s="30" t="str">
        <f t="shared" si="201"/>
        <v>2,15674614590963+11,9518287771504i</v>
      </c>
      <c r="BG174" s="68">
        <f t="shared" si="202"/>
        <v>21.6878543976431</v>
      </c>
      <c r="BH174" s="31">
        <f t="shared" si="203"/>
        <v>79.7708748854551</v>
      </c>
      <c r="BI174" s="30" t="str">
        <f t="shared" si="156"/>
        <v>-2,78418974387675+67,3681141344473i</v>
      </c>
      <c r="BJ174" s="68">
        <f t="shared" si="204"/>
        <v>36.5764992419417</v>
      </c>
      <c r="BK174" s="31">
        <f t="shared" si="157"/>
        <v>92.3665734911854</v>
      </c>
      <c r="BL174" s="32">
        <f t="shared" si="205"/>
        <v>21.6878543976431</v>
      </c>
      <c r="BM174" s="31">
        <f t="shared" si="206"/>
        <v>79.7708748854551</v>
      </c>
      <c r="BO174">
        <f t="shared" si="207"/>
        <v>0</v>
      </c>
      <c r="BP174">
        <f t="shared" si="208"/>
        <v>0</v>
      </c>
    </row>
    <row r="175" spans="14:68">
      <c r="N175" s="7">
        <v>57</v>
      </c>
      <c r="O175" s="18">
        <f t="shared" si="158"/>
        <v>371.535229097173</v>
      </c>
      <c r="P175" s="86" t="str">
        <f t="shared" si="159"/>
        <v>15</v>
      </c>
      <c r="Q175" s="4" t="str">
        <f t="shared" si="160"/>
        <v>1+0,680873868664196i</v>
      </c>
      <c r="R175" s="4">
        <f t="shared" si="171"/>
        <v>1.20978891755122</v>
      </c>
      <c r="S175" s="4">
        <f t="shared" si="172"/>
        <v>0.597773973202974</v>
      </c>
      <c r="T175" s="4" t="str">
        <f t="shared" si="161"/>
        <v>1+0,000466884938512592i</v>
      </c>
      <c r="U175" s="4">
        <f t="shared" si="173"/>
        <v>1.00000010899077</v>
      </c>
      <c r="V175" s="4">
        <f t="shared" si="174"/>
        <v>0.000466884904588496</v>
      </c>
      <c r="W175" t="str">
        <f t="shared" si="162"/>
        <v>1-0,0408524321198518i</v>
      </c>
      <c r="X175" s="4">
        <f t="shared" si="175"/>
        <v>1.00083411273303</v>
      </c>
      <c r="Y175" s="4">
        <f t="shared" si="176"/>
        <v>-0.0408297283531815</v>
      </c>
      <c r="Z175" t="str">
        <f t="shared" si="163"/>
        <v>0,999999018393412+0,0021676800716656i</v>
      </c>
      <c r="AA175" s="4">
        <f t="shared" si="177"/>
        <v>1.00000136781141</v>
      </c>
      <c r="AB175" s="4">
        <f t="shared" si="178"/>
        <v>0.0021676788042846</v>
      </c>
      <c r="AC175" s="67" t="str">
        <f t="shared" si="179"/>
        <v>9,95109653466134-7,4137382831948i</v>
      </c>
      <c r="AD175" s="68">
        <f t="shared" si="180"/>
        <v>21.8748642029651</v>
      </c>
      <c r="AE175" s="31">
        <f t="shared" si="181"/>
        <v>-36.6867451928738</v>
      </c>
      <c r="AF175" s="32" t="str">
        <f t="shared" si="182"/>
        <v>75,4669735059805</v>
      </c>
      <c r="AG175" s="32" t="str">
        <f t="shared" si="164"/>
        <v>1+0,437704629855555i</v>
      </c>
      <c r="AH175" s="32">
        <f t="shared" si="183"/>
        <v>1.09159761038443</v>
      </c>
      <c r="AI175" s="32">
        <f t="shared" si="184"/>
        <v>0.412582183585685</v>
      </c>
      <c r="AJ175" s="32" t="str">
        <f t="shared" si="165"/>
        <v>1+0,000466884938512592i</v>
      </c>
      <c r="AK175" s="32">
        <f t="shared" si="185"/>
        <v>1.00000010899077</v>
      </c>
      <c r="AL175" s="32">
        <f t="shared" si="186"/>
        <v>0.000466884904588496</v>
      </c>
      <c r="AM175" s="32" t="str">
        <f t="shared" si="166"/>
        <v>1-0,00521993230092483i</v>
      </c>
      <c r="AN175" s="32">
        <f t="shared" si="187"/>
        <v>1.00001362375381</v>
      </c>
      <c r="AO175" s="32">
        <f t="shared" si="188"/>
        <v>-0.00521988489132858</v>
      </c>
      <c r="AP175" s="30" t="str">
        <f t="shared" si="189"/>
        <v>63,201644809509-28,0223506469802i</v>
      </c>
      <c r="AQ175" s="32">
        <f t="shared" si="190"/>
        <v>36.7940064263432</v>
      </c>
      <c r="AR175" s="31">
        <f t="shared" si="191"/>
        <v>-23.9115446610174</v>
      </c>
      <c r="AS175" t="str">
        <f t="shared" si="167"/>
        <v>-0,000338461538461538</v>
      </c>
      <c r="AT175" t="str">
        <f t="shared" si="168"/>
        <v>0,000408650380131916i</v>
      </c>
      <c r="AU175">
        <f t="shared" si="192"/>
        <v>0.000408650380131916</v>
      </c>
      <c r="AV175">
        <f t="shared" si="193"/>
        <v>1.5707963267949</v>
      </c>
      <c r="AW175" t="str">
        <f t="shared" si="169"/>
        <v>1+0,0663224438778609i</v>
      </c>
      <c r="AX175">
        <f t="shared" si="194"/>
        <v>1.00219692005211</v>
      </c>
      <c r="AY175">
        <f t="shared" si="195"/>
        <v>0.066225456280403</v>
      </c>
      <c r="AZ175" t="str">
        <f t="shared" si="170"/>
        <v>1+0,578937323755614i</v>
      </c>
      <c r="BA175">
        <f t="shared" si="196"/>
        <v>1.15549488308573</v>
      </c>
      <c r="BB175">
        <f t="shared" si="197"/>
        <v>0.524788248538039</v>
      </c>
      <c r="BC175" s="30" t="str">
        <f t="shared" si="198"/>
        <v>-0,422709976575388+0,856277477602227i</v>
      </c>
      <c r="BD175" s="32">
        <f t="shared" si="199"/>
        <v>-0.400552403577112</v>
      </c>
      <c r="BE175" s="31">
        <f t="shared" si="200"/>
        <v>116.273712638097</v>
      </c>
      <c r="BF175" s="30" t="str">
        <f t="shared" si="201"/>
        <v>2,14178933367099+11,6547609761014i</v>
      </c>
      <c r="BG175" s="68">
        <f t="shared" si="202"/>
        <v>21.474311799388</v>
      </c>
      <c r="BH175" s="31">
        <f t="shared" si="203"/>
        <v>79.5869674452231</v>
      </c>
      <c r="BI175" s="30" t="str">
        <f t="shared" si="156"/>
        <v>-2,7210580684722+65,9634721833706i</v>
      </c>
      <c r="BJ175" s="68">
        <f t="shared" si="204"/>
        <v>36.3934540227661</v>
      </c>
      <c r="BK175" s="31">
        <f t="shared" si="157"/>
        <v>92.3621679770795</v>
      </c>
      <c r="BL175" s="32">
        <f t="shared" si="205"/>
        <v>21.474311799388</v>
      </c>
      <c r="BM175" s="31">
        <f t="shared" si="206"/>
        <v>79.5869674452231</v>
      </c>
      <c r="BO175">
        <f t="shared" si="207"/>
        <v>0</v>
      </c>
      <c r="BP175">
        <f t="shared" si="208"/>
        <v>0</v>
      </c>
    </row>
    <row r="176" spans="14:68">
      <c r="N176" s="7">
        <v>58</v>
      </c>
      <c r="O176" s="18">
        <f t="shared" si="158"/>
        <v>380.189396320562</v>
      </c>
      <c r="P176" s="86" t="str">
        <f t="shared" si="159"/>
        <v>15</v>
      </c>
      <c r="Q176" s="4" t="str">
        <f t="shared" si="160"/>
        <v>1+0,696733458431159i</v>
      </c>
      <c r="R176" s="4">
        <f t="shared" si="171"/>
        <v>1.21878526086323</v>
      </c>
      <c r="S176" s="4">
        <f t="shared" si="172"/>
        <v>0.60853028861347</v>
      </c>
      <c r="T176" s="4" t="str">
        <f t="shared" si="161"/>
        <v>1+0,000477760085781366i</v>
      </c>
      <c r="U176" s="4">
        <f t="shared" si="173"/>
        <v>1.00000011412734</v>
      </c>
      <c r="V176" s="4">
        <f t="shared" si="174"/>
        <v>0.000477760049431043</v>
      </c>
      <c r="W176" t="str">
        <f t="shared" si="162"/>
        <v>1-0,0418040075058696i</v>
      </c>
      <c r="X176" s="4">
        <f t="shared" si="175"/>
        <v>1.00087340610267</v>
      </c>
      <c r="Y176" s="4">
        <f t="shared" si="176"/>
        <v>-0.041779681128003</v>
      </c>
      <c r="Z176" t="str">
        <f t="shared" si="163"/>
        <v>0,999998972131719+0,00221817182684205i</v>
      </c>
      <c r="AA176" s="4">
        <f t="shared" si="177"/>
        <v>1.00000143227435</v>
      </c>
      <c r="AB176" s="4">
        <f t="shared" si="178"/>
        <v>0.00221817046881893</v>
      </c>
      <c r="AC176" s="67" t="str">
        <f t="shared" si="179"/>
        <v>9,79090976834677-7,47481886912928i</v>
      </c>
      <c r="AD176" s="68">
        <f t="shared" si="180"/>
        <v>21.8108528592518</v>
      </c>
      <c r="AE176" s="31">
        <f t="shared" si="181"/>
        <v>-37.3597348131182</v>
      </c>
      <c r="AF176" s="32" t="str">
        <f t="shared" si="182"/>
        <v>75,4669735059805</v>
      </c>
      <c r="AG176" s="32" t="str">
        <f t="shared" si="164"/>
        <v>1+0,447900080420031i</v>
      </c>
      <c r="AH176" s="32">
        <f t="shared" si="183"/>
        <v>1.09572555050992</v>
      </c>
      <c r="AI176" s="32">
        <f t="shared" si="184"/>
        <v>0.421106259668428</v>
      </c>
      <c r="AJ176" s="32" t="str">
        <f t="shared" si="165"/>
        <v>1+0,000477760085781366i</v>
      </c>
      <c r="AK176" s="32">
        <f t="shared" si="185"/>
        <v>1.00000011412734</v>
      </c>
      <c r="AL176" s="32">
        <f t="shared" si="186"/>
        <v>0.000477760049431043</v>
      </c>
      <c r="AM176" s="32" t="str">
        <f t="shared" si="166"/>
        <v>1-0,00534152014371632i</v>
      </c>
      <c r="AN176" s="32">
        <f t="shared" si="187"/>
        <v>1.00001426581697</v>
      </c>
      <c r="AO176" s="32">
        <f t="shared" si="188"/>
        <v>-0.00534146934345782</v>
      </c>
      <c r="AP176" s="30" t="str">
        <f t="shared" si="189"/>
        <v>62,7201854056133-28,4594293385651i</v>
      </c>
      <c r="AQ176" s="32">
        <f t="shared" si="190"/>
        <v>36.7612277975329</v>
      </c>
      <c r="AR176" s="31">
        <f t="shared" si="191"/>
        <v>-24.4062814208674</v>
      </c>
      <c r="AS176" t="str">
        <f t="shared" si="167"/>
        <v>-0,000338461538461538</v>
      </c>
      <c r="AT176" t="str">
        <f t="shared" si="168"/>
        <v>0,000418169070281856i</v>
      </c>
      <c r="AU176">
        <f t="shared" si="192"/>
        <v>0.000418169070281856</v>
      </c>
      <c r="AV176">
        <f t="shared" si="193"/>
        <v>1.5707963267949</v>
      </c>
      <c r="AW176" t="str">
        <f t="shared" si="169"/>
        <v>1+0,0678672920511487i</v>
      </c>
      <c r="AX176">
        <f t="shared" si="194"/>
        <v>1.00230033888568</v>
      </c>
      <c r="AY176">
        <f t="shared" si="195"/>
        <v>0.0677633808455282</v>
      </c>
      <c r="AZ176" t="str">
        <f t="shared" si="170"/>
        <v>1+0,592422506368894i</v>
      </c>
      <c r="BA176">
        <f t="shared" si="196"/>
        <v>1.16230995265996</v>
      </c>
      <c r="BB176">
        <f t="shared" si="197"/>
        <v>0.534829183322639</v>
      </c>
      <c r="BC176" s="30" t="str">
        <f t="shared" si="198"/>
        <v>-0,422622749392732+0,838071483564425i</v>
      </c>
      <c r="BD176" s="32">
        <f t="shared" si="199"/>
        <v>-0.550370072995138</v>
      </c>
      <c r="BE176" s="31">
        <f t="shared" si="200"/>
        <v>116.760899236829</v>
      </c>
      <c r="BF176" s="30" t="str">
        <f t="shared" si="201"/>
        <v>2,12657133367166+11,3645107766879i</v>
      </c>
      <c r="BG176" s="68">
        <f t="shared" si="202"/>
        <v>21.2604827862567</v>
      </c>
      <c r="BH176" s="31">
        <f t="shared" si="203"/>
        <v>79.4011644237113</v>
      </c>
      <c r="BI176" s="30" t="str">
        <f t="shared" si="156"/>
        <v>-2,65594103137402+64,5916011055307i</v>
      </c>
      <c r="BJ176" s="68">
        <f t="shared" si="204"/>
        <v>36.2108577245377</v>
      </c>
      <c r="BK176" s="31">
        <f t="shared" si="157"/>
        <v>92.3546178159621</v>
      </c>
      <c r="BL176" s="32">
        <f t="shared" si="205"/>
        <v>21.2604827862567</v>
      </c>
      <c r="BM176" s="31">
        <f t="shared" si="206"/>
        <v>79.4011644237113</v>
      </c>
      <c r="BO176">
        <f t="shared" si="207"/>
        <v>0</v>
      </c>
      <c r="BP176">
        <f t="shared" si="208"/>
        <v>0</v>
      </c>
    </row>
    <row r="177" spans="14:68">
      <c r="N177" s="7">
        <v>59</v>
      </c>
      <c r="O177" s="18">
        <f t="shared" si="158"/>
        <v>389.045144994281</v>
      </c>
      <c r="P177" s="86" t="str">
        <f t="shared" si="159"/>
        <v>15</v>
      </c>
      <c r="Q177" s="4" t="str">
        <f t="shared" si="160"/>
        <v>1+0,712962465500139i</v>
      </c>
      <c r="R177" s="4">
        <f t="shared" si="171"/>
        <v>1.22813495887546</v>
      </c>
      <c r="S177" s="4">
        <f t="shared" si="172"/>
        <v>0.619372732204479</v>
      </c>
      <c r="T177" s="4" t="str">
        <f t="shared" si="161"/>
        <v>1+0,000488888547771524i</v>
      </c>
      <c r="U177" s="4">
        <f t="shared" si="173"/>
        <v>1.000000119506</v>
      </c>
      <c r="V177" s="4">
        <f t="shared" si="174"/>
        <v>0.000488888508821451</v>
      </c>
      <c r="W177" t="str">
        <f t="shared" si="162"/>
        <v>1-0,0427777479300084i</v>
      </c>
      <c r="X177" s="4">
        <f t="shared" si="175"/>
        <v>1.00091454965844</v>
      </c>
      <c r="Y177" s="4">
        <f t="shared" si="176"/>
        <v>-0.0427516830326572</v>
      </c>
      <c r="Z177" t="str">
        <f t="shared" si="163"/>
        <v>0,999998923689779+0,00226983968608207i</v>
      </c>
      <c r="AA177" s="4">
        <f t="shared" si="177"/>
        <v>1.00000149977533</v>
      </c>
      <c r="AB177" s="4">
        <f t="shared" si="178"/>
        <v>0.00226983823093417</v>
      </c>
      <c r="AC177" s="67" t="str">
        <f t="shared" si="179"/>
        <v>9,62814753494321-7,53288631521742i</v>
      </c>
      <c r="AD177" s="68">
        <f t="shared" si="180"/>
        <v>21.7448313646539</v>
      </c>
      <c r="AE177" s="31">
        <f t="shared" si="181"/>
        <v>-38.0389754082576</v>
      </c>
      <c r="AF177" s="32" t="str">
        <f t="shared" si="182"/>
        <v>75,4669735059805</v>
      </c>
      <c r="AG177" s="32" t="str">
        <f t="shared" si="164"/>
        <v>1+0,458333013535804i</v>
      </c>
      <c r="AH177" s="32">
        <f t="shared" si="183"/>
        <v>1.10003143195857</v>
      </c>
      <c r="AI177" s="32">
        <f t="shared" si="184"/>
        <v>0.429762014816345</v>
      </c>
      <c r="AJ177" s="32" t="str">
        <f t="shared" si="165"/>
        <v>1+0,000488888547771524i</v>
      </c>
      <c r="AK177" s="32">
        <f t="shared" si="185"/>
        <v>1.000000119506</v>
      </c>
      <c r="AL177" s="32">
        <f t="shared" si="186"/>
        <v>0.000488888508821451</v>
      </c>
      <c r="AM177" s="32" t="str">
        <f t="shared" si="166"/>
        <v>1-0,0054659401311914i</v>
      </c>
      <c r="AN177" s="32">
        <f t="shared" si="187"/>
        <v>1.00001493813918</v>
      </c>
      <c r="AO177" s="32">
        <f t="shared" si="188"/>
        <v>-0.00546588569777762</v>
      </c>
      <c r="AP177" s="30" t="str">
        <f t="shared" si="189"/>
        <v>62,2237364094225-28,894795641972i</v>
      </c>
      <c r="AQ177" s="32">
        <f t="shared" si="190"/>
        <v>36.727167565184</v>
      </c>
      <c r="AR177" s="31">
        <f t="shared" si="191"/>
        <v>-24.908710577591</v>
      </c>
      <c r="AS177" t="str">
        <f t="shared" si="167"/>
        <v>-0,000338461538461538</v>
      </c>
      <c r="AT177" t="str">
        <f t="shared" si="168"/>
        <v>0,000427909479207981i</v>
      </c>
      <c r="AU177">
        <f t="shared" si="192"/>
        <v>0.000427909479207981</v>
      </c>
      <c r="AV177">
        <f t="shared" si="193"/>
        <v>1.5707963267949</v>
      </c>
      <c r="AW177" t="str">
        <f t="shared" si="169"/>
        <v>1+0,0694481243610118i</v>
      </c>
      <c r="AX177">
        <f t="shared" si="194"/>
        <v>1.00240862026285</v>
      </c>
      <c r="AY177">
        <f t="shared" si="195"/>
        <v>0.0693367959425057</v>
      </c>
      <c r="AZ177" t="str">
        <f t="shared" si="170"/>
        <v>1+0,60622179923669i</v>
      </c>
      <c r="BA177">
        <f t="shared" si="196"/>
        <v>1.16940363855675</v>
      </c>
      <c r="BB177">
        <f t="shared" si="197"/>
        <v>0.544981797806637</v>
      </c>
      <c r="BC177" s="30" t="str">
        <f t="shared" si="198"/>
        <v>-0,422531449895188+0,820309290661465i</v>
      </c>
      <c r="BD177" s="32">
        <f t="shared" si="199"/>
        <v>-0.69845870012851</v>
      </c>
      <c r="BE177" s="31">
        <f t="shared" si="200"/>
        <v>117.252451153307</v>
      </c>
      <c r="BF177" s="30" t="str">
        <f t="shared" si="201"/>
        <v>2,11110149212512+11,0809402514376i</v>
      </c>
      <c r="BG177" s="68">
        <f t="shared" si="202"/>
        <v>21.0463726645254</v>
      </c>
      <c r="BH177" s="31">
        <f t="shared" si="203"/>
        <v>79.2134757450494</v>
      </c>
      <c r="BI177" s="30" t="str">
        <f t="shared" si="156"/>
        <v>-2,58881624609525+63,2516689733469i</v>
      </c>
      <c r="BJ177" s="68">
        <f t="shared" si="204"/>
        <v>36.0287088650555</v>
      </c>
      <c r="BK177" s="31">
        <f t="shared" si="157"/>
        <v>92.343740575716</v>
      </c>
      <c r="BL177" s="32">
        <f t="shared" si="205"/>
        <v>21.0463726645254</v>
      </c>
      <c r="BM177" s="31">
        <f t="shared" si="206"/>
        <v>79.2134757450494</v>
      </c>
      <c r="BO177">
        <f t="shared" si="207"/>
        <v>0</v>
      </c>
      <c r="BP177">
        <f t="shared" si="208"/>
        <v>0</v>
      </c>
    </row>
    <row r="178" spans="14:68">
      <c r="N178" s="7">
        <v>60</v>
      </c>
      <c r="O178" s="18">
        <f t="shared" si="158"/>
        <v>398.107170553498</v>
      </c>
      <c r="P178" s="86" t="str">
        <f t="shared" si="159"/>
        <v>15</v>
      </c>
      <c r="Q178" s="4" t="str">
        <f t="shared" si="160"/>
        <v>1+0,729569494705499i</v>
      </c>
      <c r="R178" s="4">
        <f t="shared" si="171"/>
        <v>1.23784960621428</v>
      </c>
      <c r="S178" s="4">
        <f t="shared" si="172"/>
        <v>0.630296855941726</v>
      </c>
      <c r="T178" s="4" t="str">
        <f t="shared" si="161"/>
        <v>1+0,000500276224940914i</v>
      </c>
      <c r="U178" s="4">
        <f t="shared" si="173"/>
        <v>1.00000012513814</v>
      </c>
      <c r="V178" s="4">
        <f t="shared" si="174"/>
        <v>0.000500276183205159</v>
      </c>
      <c r="W178" t="str">
        <f t="shared" si="162"/>
        <v>1-0,04377416968233i</v>
      </c>
      <c r="X178" s="4">
        <f t="shared" si="175"/>
        <v>1.00095763043766</v>
      </c>
      <c r="Y178" s="4">
        <f t="shared" si="176"/>
        <v>-0.0437462420845501</v>
      </c>
      <c r="Z178" t="str">
        <f t="shared" si="163"/>
        <v>0,999998872964841+0,00232271104436852i</v>
      </c>
      <c r="AA178" s="4">
        <f t="shared" si="177"/>
        <v>1.00000157045754</v>
      </c>
      <c r="AB178" s="4">
        <f t="shared" si="178"/>
        <v>0.00232270948514956</v>
      </c>
      <c r="AC178" s="67" t="str">
        <f t="shared" si="179"/>
        <v>9,46292386996722-7,58780753696786i</v>
      </c>
      <c r="AD178" s="68">
        <f t="shared" si="180"/>
        <v>21.6767688624853</v>
      </c>
      <c r="AE178" s="31">
        <f t="shared" si="181"/>
        <v>-38.7242424634739</v>
      </c>
      <c r="AF178" s="32" t="str">
        <f t="shared" si="182"/>
        <v>75,4669735059805</v>
      </c>
      <c r="AG178" s="32" t="str">
        <f t="shared" si="164"/>
        <v>1+0,469008960882107i</v>
      </c>
      <c r="AH178" s="32">
        <f t="shared" si="183"/>
        <v>1.10452225210166</v>
      </c>
      <c r="AI178" s="32">
        <f t="shared" si="184"/>
        <v>0.438548849330698</v>
      </c>
      <c r="AJ178" s="32" t="str">
        <f t="shared" si="165"/>
        <v>1+0,000500276224940914i</v>
      </c>
      <c r="AK178" s="32">
        <f t="shared" si="185"/>
        <v>1.00000012513814</v>
      </c>
      <c r="AL178" s="32">
        <f t="shared" si="186"/>
        <v>0.000500276183205159</v>
      </c>
      <c r="AM178" s="32" t="str">
        <f t="shared" si="166"/>
        <v>1-0,0055932582324743i</v>
      </c>
      <c r="AN178" s="32">
        <f t="shared" si="187"/>
        <v>1.00001564214649</v>
      </c>
      <c r="AO178" s="32">
        <f t="shared" si="188"/>
        <v>-0.00559319990606986</v>
      </c>
      <c r="AP178" s="30" t="str">
        <f t="shared" si="189"/>
        <v>61,7121378946579-29,3278976060158i</v>
      </c>
      <c r="AQ178" s="32">
        <f t="shared" si="190"/>
        <v>36.6917862286186</v>
      </c>
      <c r="AR178" s="31">
        <f t="shared" si="191"/>
        <v>-25.4188012116699</v>
      </c>
      <c r="AS178" t="str">
        <f t="shared" si="167"/>
        <v>-0,000338461538461538</v>
      </c>
      <c r="AT178" t="str">
        <f t="shared" si="168"/>
        <v>0,000437876771404034i</v>
      </c>
      <c r="AU178">
        <f t="shared" si="192"/>
        <v>0.000437876771404034</v>
      </c>
      <c r="AV178">
        <f t="shared" si="193"/>
        <v>1.5707963267949</v>
      </c>
      <c r="AW178" t="str">
        <f t="shared" si="169"/>
        <v>1+0,0710657789856655i</v>
      </c>
      <c r="AX178">
        <f t="shared" si="194"/>
        <v>1.00252199224897</v>
      </c>
      <c r="AY178">
        <f t="shared" si="195"/>
        <v>0.0709465046377172</v>
      </c>
      <c r="AZ178" t="str">
        <f t="shared" si="170"/>
        <v>1+0,620342518926733i</v>
      </c>
      <c r="BA178">
        <f t="shared" si="196"/>
        <v>1.17678580922289</v>
      </c>
      <c r="BB178">
        <f t="shared" si="197"/>
        <v>0.555243102654027</v>
      </c>
      <c r="BC178" s="30" t="str">
        <f t="shared" si="198"/>
        <v>-0,422435889854741+0,802981441803443i</v>
      </c>
      <c r="BD178" s="32">
        <f t="shared" si="199"/>
        <v>-0.844781378387919</v>
      </c>
      <c r="BE178" s="31">
        <f t="shared" si="200"/>
        <v>117.748151098878</v>
      </c>
      <c r="BF178" s="30" t="str">
        <f t="shared" si="201"/>
        <v>2,09538997052421+10,803914481708i</v>
      </c>
      <c r="BG178" s="68">
        <f t="shared" si="202"/>
        <v>20.8319874840973</v>
      </c>
      <c r="BH178" s="31">
        <f t="shared" si="203"/>
        <v>79.0239086354043</v>
      </c>
      <c r="BI178" s="30" t="str">
        <f t="shared" ref="BI178:BI241" si="209">IMPRODUCT(AP178,BC178)</f>
        <v>-2,51966438162598+61,9428579861913i</v>
      </c>
      <c r="BJ178" s="68">
        <f t="shared" si="204"/>
        <v>35.8470048502307</v>
      </c>
      <c r="BK178" s="31">
        <f t="shared" ref="BK178:BK241" si="210">(180/PI())*IMARGUMENT(BI178)</f>
        <v>92.3293498872084</v>
      </c>
      <c r="BL178" s="32">
        <f t="shared" si="205"/>
        <v>20.8319874840973</v>
      </c>
      <c r="BM178" s="31">
        <f t="shared" si="206"/>
        <v>79.0239086354043</v>
      </c>
      <c r="BO178">
        <f t="shared" si="207"/>
        <v>0</v>
      </c>
      <c r="BP178">
        <f t="shared" si="208"/>
        <v>0</v>
      </c>
    </row>
    <row r="179" spans="14:68">
      <c r="N179" s="7">
        <v>61</v>
      </c>
      <c r="O179" s="18">
        <f t="shared" si="158"/>
        <v>407.380277804113</v>
      </c>
      <c r="P179" s="86" t="str">
        <f t="shared" si="159"/>
        <v>15</v>
      </c>
      <c r="Q179" s="4" t="str">
        <f t="shared" si="160"/>
        <v>1+0,746563351313949i</v>
      </c>
      <c r="R179" s="4">
        <f t="shared" si="171"/>
        <v>1.24794103928235</v>
      </c>
      <c r="S179" s="4">
        <f t="shared" si="172"/>
        <v>0.64129802300132</v>
      </c>
      <c r="T179" s="4" t="str">
        <f t="shared" si="161"/>
        <v>1+0,000511929155186708i</v>
      </c>
      <c r="U179" s="4">
        <f t="shared" si="173"/>
        <v>1.00000013103572</v>
      </c>
      <c r="V179" s="4">
        <f t="shared" si="174"/>
        <v>0.000511929110466041</v>
      </c>
      <c r="W179" t="str">
        <f t="shared" si="162"/>
        <v>1-0,044793801078837i</v>
      </c>
      <c r="X179" s="4">
        <f t="shared" si="175"/>
        <v>1.00100273956423</v>
      </c>
      <c r="Y179" s="4">
        <f t="shared" si="176"/>
        <v>-0.044763877737447</v>
      </c>
      <c r="Z179" t="str">
        <f t="shared" si="163"/>
        <v>0,99999881984931+0,00237681393479542i</v>
      </c>
      <c r="AA179" s="4">
        <f t="shared" si="177"/>
        <v>1.00000164447089</v>
      </c>
      <c r="AB179" s="4">
        <f t="shared" si="178"/>
        <v>0.00237681226406233</v>
      </c>
      <c r="AC179" s="67" t="str">
        <f t="shared" si="179"/>
        <v>9,29536157738202-7,63945431056255i</v>
      </c>
      <c r="AD179" s="68">
        <f t="shared" si="180"/>
        <v>21.6066360172961</v>
      </c>
      <c r="AE179" s="31">
        <f t="shared" si="181"/>
        <v>-39.4153013310407</v>
      </c>
      <c r="AF179" s="32" t="str">
        <f t="shared" si="182"/>
        <v>75,4669735059805</v>
      </c>
      <c r="AG179" s="32" t="str">
        <f t="shared" si="164"/>
        <v>1+0,479933582987539i</v>
      </c>
      <c r="AH179" s="32">
        <f t="shared" si="183"/>
        <v>1.10920523082036</v>
      </c>
      <c r="AI179" s="32">
        <f t="shared" si="184"/>
        <v>0.447465993741912</v>
      </c>
      <c r="AJ179" s="32" t="str">
        <f t="shared" si="165"/>
        <v>1+0,000511929155186708i</v>
      </c>
      <c r="AK179" s="32">
        <f t="shared" si="185"/>
        <v>1.00000013103572</v>
      </c>
      <c r="AL179" s="32">
        <f t="shared" si="186"/>
        <v>0.000511929110466041</v>
      </c>
      <c r="AM179" s="32" t="str">
        <f t="shared" si="166"/>
        <v>1-0,00572354195330759i</v>
      </c>
      <c r="AN179" s="32">
        <f t="shared" si="187"/>
        <v>1.0000163793321</v>
      </c>
      <c r="AO179" s="32">
        <f t="shared" si="188"/>
        <v>-0.00572347945549452</v>
      </c>
      <c r="AP179" s="30" t="str">
        <f t="shared" si="189"/>
        <v>61,1852531229868-29,7581624022738i</v>
      </c>
      <c r="AQ179" s="32">
        <f t="shared" si="190"/>
        <v>36.6550438984472</v>
      </c>
      <c r="AR179" s="31">
        <f t="shared" si="191"/>
        <v>-25.936512756529</v>
      </c>
      <c r="AS179" t="str">
        <f t="shared" si="167"/>
        <v>-0,000338461538461538</v>
      </c>
      <c r="AT179" t="str">
        <f t="shared" si="168"/>
        <v>0,00044807623166027i</v>
      </c>
      <c r="AU179">
        <f t="shared" si="192"/>
        <v>0.00044807623166027</v>
      </c>
      <c r="AV179">
        <f t="shared" si="193"/>
        <v>1.5707963267949</v>
      </c>
      <c r="AW179" t="str">
        <f t="shared" si="169"/>
        <v>1+0,0727211136270045i</v>
      </c>
      <c r="AX179">
        <f t="shared" si="194"/>
        <v>1.00264069355236</v>
      </c>
      <c r="AY179">
        <f t="shared" si="195"/>
        <v>0.072593327033154</v>
      </c>
      <c r="AZ179" t="str">
        <f t="shared" si="170"/>
        <v>1+0,634792152431518i</v>
      </c>
      <c r="BA179">
        <f t="shared" si="196"/>
        <v>1.18446657900873</v>
      </c>
      <c r="BB179">
        <f t="shared" si="197"/>
        <v>0.56560989446918</v>
      </c>
      <c r="BC179" s="30" t="str">
        <f t="shared" si="198"/>
        <v>-0,422335872524858+0,786078707428539i</v>
      </c>
      <c r="BD179" s="32">
        <f t="shared" si="199"/>
        <v>-0.989301979752261</v>
      </c>
      <c r="BE179" s="31">
        <f t="shared" si="200"/>
        <v>118.247768544111</v>
      </c>
      <c r="BF179" s="30" t="str">
        <f t="shared" si="201"/>
        <v>2,07944772768871+10,5333014156946i</v>
      </c>
      <c r="BG179" s="68">
        <f t="shared" si="202"/>
        <v>20.6173340375438</v>
      </c>
      <c r="BH179" s="31">
        <f t="shared" si="203"/>
        <v>78.8324672130706</v>
      </c>
      <c r="BI179" s="30" t="str">
        <f t="shared" si="209"/>
        <v>-2,44846942672299+60,6643641715062i</v>
      </c>
      <c r="BJ179" s="68">
        <f t="shared" si="204"/>
        <v>35.6657419186949</v>
      </c>
      <c r="BK179" s="31">
        <f t="shared" si="210"/>
        <v>92.3112557875823</v>
      </c>
      <c r="BL179" s="32">
        <f t="shared" si="205"/>
        <v>20.6173340375438</v>
      </c>
      <c r="BM179" s="31">
        <f t="shared" si="206"/>
        <v>78.8324672130706</v>
      </c>
      <c r="BO179">
        <f t="shared" si="207"/>
        <v>0</v>
      </c>
      <c r="BP179">
        <f t="shared" si="208"/>
        <v>0</v>
      </c>
    </row>
    <row r="180" spans="14:68">
      <c r="N180" s="7">
        <v>62</v>
      </c>
      <c r="O180" s="18">
        <f t="shared" si="158"/>
        <v>416.869383470336</v>
      </c>
      <c r="P180" s="86" t="str">
        <f t="shared" si="159"/>
        <v>15</v>
      </c>
      <c r="Q180" s="4" t="str">
        <f t="shared" si="160"/>
        <v>1+0,7639530456932i</v>
      </c>
      <c r="R180" s="4">
        <f t="shared" si="171"/>
        <v>1.25842133485726</v>
      </c>
      <c r="S180" s="4">
        <f t="shared" si="172"/>
        <v>0.652371415285879</v>
      </c>
      <c r="T180" s="4" t="str">
        <f t="shared" si="161"/>
        <v>1+0,000523853517046766i</v>
      </c>
      <c r="U180" s="4">
        <f t="shared" si="173"/>
        <v>1.00000013721124</v>
      </c>
      <c r="V180" s="4">
        <f t="shared" si="174"/>
        <v>0.000523853469127709</v>
      </c>
      <c r="W180" t="str">
        <f t="shared" si="162"/>
        <v>1-0,0458371827415921i</v>
      </c>
      <c r="X180" s="4">
        <f t="shared" si="175"/>
        <v>1.00104997243978</v>
      </c>
      <c r="Y180" s="4">
        <f t="shared" si="176"/>
        <v>-0.0458051211196774</v>
      </c>
      <c r="Z180" t="str">
        <f t="shared" si="163"/>
        <v>0,999998764230522+0,00243217704343141i</v>
      </c>
      <c r="AA180" s="4">
        <f t="shared" si="177"/>
        <v>1.00000172197239</v>
      </c>
      <c r="AB180" s="4">
        <f t="shared" si="178"/>
        <v>0.00243217525320878</v>
      </c>
      <c r="AC180" s="67" t="str">
        <f t="shared" si="179"/>
        <v>9,12559198637311-7,68770395534376i</v>
      </c>
      <c r="AD180" s="68">
        <f t="shared" si="180"/>
        <v>21.5344051250641</v>
      </c>
      <c r="AE180" s="31">
        <f t="shared" si="181"/>
        <v>-40.1119076752809</v>
      </c>
      <c r="AF180" s="32" t="str">
        <f t="shared" si="182"/>
        <v>75,4669735059805</v>
      </c>
      <c r="AG180" s="32" t="str">
        <f t="shared" si="164"/>
        <v>1+0,491112672231343i</v>
      </c>
      <c r="AH180" s="32">
        <f t="shared" si="183"/>
        <v>1.11408781378588</v>
      </c>
      <c r="AI180" s="32">
        <f t="shared" si="184"/>
        <v>0.456512502628444</v>
      </c>
      <c r="AJ180" s="32" t="str">
        <f t="shared" si="165"/>
        <v>1+0,000523853517046766i</v>
      </c>
      <c r="AK180" s="32">
        <f t="shared" si="185"/>
        <v>1.00000013721124</v>
      </c>
      <c r="AL180" s="32">
        <f t="shared" si="186"/>
        <v>0.000523853469127709</v>
      </c>
      <c r="AM180" s="32" t="str">
        <f t="shared" si="166"/>
        <v>1-0,00585686037184457i</v>
      </c>
      <c r="AN180" s="32">
        <f t="shared" si="187"/>
        <v>1.00001715125962</v>
      </c>
      <c r="AO180" s="32">
        <f t="shared" si="188"/>
        <v>-0.00585679340429336</v>
      </c>
      <c r="AP180" s="30" t="str">
        <f t="shared" si="189"/>
        <v>60,6429704371358-30,1849971504463i</v>
      </c>
      <c r="AQ180" s="32">
        <f t="shared" si="190"/>
        <v>36.6169003598689</v>
      </c>
      <c r="AR180" s="31">
        <f t="shared" si="191"/>
        <v>-26.4617946462465</v>
      </c>
      <c r="AS180" t="str">
        <f t="shared" si="167"/>
        <v>-0,000338461538461538</v>
      </c>
      <c r="AT180" t="str">
        <f t="shared" si="168"/>
        <v>0,000458513267865522i</v>
      </c>
      <c r="AU180">
        <f t="shared" si="192"/>
        <v>0.000458513267865522</v>
      </c>
      <c r="AV180">
        <f t="shared" si="193"/>
        <v>1.5707963267949</v>
      </c>
      <c r="AW180" t="str">
        <f t="shared" si="169"/>
        <v>1+0,0744150059653663i</v>
      </c>
      <c r="AX180">
        <f t="shared" si="194"/>
        <v>1.00276497401576</v>
      </c>
      <c r="AY180">
        <f t="shared" si="195"/>
        <v>0.0742781005460313</v>
      </c>
      <c r="AZ180" t="str">
        <f t="shared" si="170"/>
        <v>1+0,64957836113799i</v>
      </c>
      <c r="BA180">
        <f t="shared" si="196"/>
        <v>1.19245630832275</v>
      </c>
      <c r="BB180">
        <f t="shared" si="197"/>
        <v>0.576078756548897</v>
      </c>
      <c r="BC180" s="30" t="str">
        <f t="shared" si="198"/>
        <v>-0,422231192272397+0,769592080417145i</v>
      </c>
      <c r="BD180" s="32">
        <f t="shared" si="199"/>
        <v>-1.13198527079527</v>
      </c>
      <c r="BE180" s="31">
        <f t="shared" si="200"/>
        <v>118.75105974586</v>
      </c>
      <c r="BF180" s="30" t="str">
        <f t="shared" si="201"/>
        <v>2,06328649602637+10,2689717287329i</v>
      </c>
      <c r="BG180" s="68">
        <f t="shared" si="202"/>
        <v>20.4024198542688</v>
      </c>
      <c r="BH180" s="31">
        <f t="shared" si="203"/>
        <v>78.6391520705793</v>
      </c>
      <c r="BI180" s="30" t="str">
        <f t="shared" si="209"/>
        <v>-2,37521895621401+59,4153971169626i</v>
      </c>
      <c r="BJ180" s="68">
        <f t="shared" si="204"/>
        <v>35.4849150890736</v>
      </c>
      <c r="BK180" s="31">
        <f t="shared" si="210"/>
        <v>92.2892650996138</v>
      </c>
      <c r="BL180" s="32">
        <f t="shared" si="205"/>
        <v>20.4024198542688</v>
      </c>
      <c r="BM180" s="31">
        <f t="shared" si="206"/>
        <v>78.6391520705793</v>
      </c>
      <c r="BO180">
        <f t="shared" si="207"/>
        <v>0</v>
      </c>
      <c r="BP180">
        <f t="shared" si="208"/>
        <v>0</v>
      </c>
    </row>
    <row r="181" spans="14:68">
      <c r="N181" s="7">
        <v>63</v>
      </c>
      <c r="O181" s="18">
        <f t="shared" si="158"/>
        <v>426.579518801593</v>
      </c>
      <c r="P181" s="86" t="str">
        <f t="shared" si="159"/>
        <v>15</v>
      </c>
      <c r="Q181" s="4" t="str">
        <f t="shared" si="160"/>
        <v>1+0,78174779808939i</v>
      </c>
      <c r="R181" s="4">
        <f t="shared" si="171"/>
        <v>1.26930280855973</v>
      </c>
      <c r="S181" s="4">
        <f t="shared" si="172"/>
        <v>0.663512041918962</v>
      </c>
      <c r="T181" s="4" t="str">
        <f t="shared" si="161"/>
        <v>1+0,000536055632975582i</v>
      </c>
      <c r="U181" s="4">
        <f t="shared" si="173"/>
        <v>1.00000014367781</v>
      </c>
      <c r="V181" s="4">
        <f t="shared" si="174"/>
        <v>0.000536055581629387</v>
      </c>
      <c r="W181" t="str">
        <f t="shared" si="162"/>
        <v>1-0,0469048678853635i</v>
      </c>
      <c r="X181" s="4">
        <f t="shared" si="175"/>
        <v>1.00109942894367</v>
      </c>
      <c r="Y181" s="4">
        <f t="shared" si="176"/>
        <v>-0.0468705152758983</v>
      </c>
      <c r="Z181" t="str">
        <f t="shared" si="163"/>
        <v>0,999998705990501+0,00248882972452948i</v>
      </c>
      <c r="AA181" s="4">
        <f t="shared" si="177"/>
        <v>1.00000180312641</v>
      </c>
      <c r="AB181" s="4">
        <f t="shared" si="178"/>
        <v>0.00248882780627152</v>
      </c>
      <c r="AC181" s="67" t="str">
        <f t="shared" si="179"/>
        <v>8,95375464622473-7,73244000473199i</v>
      </c>
      <c r="AD181" s="68">
        <f t="shared" si="180"/>
        <v>21.4600502200195</v>
      </c>
      <c r="AE181" s="31">
        <f t="shared" si="181"/>
        <v>-40.8138079737987</v>
      </c>
      <c r="AF181" s="32" t="str">
        <f t="shared" si="182"/>
        <v>75,4669735059805</v>
      </c>
      <c r="AG181" s="32" t="str">
        <f t="shared" si="164"/>
        <v>1+0,502552155914608i</v>
      </c>
      <c r="AH181" s="32">
        <f t="shared" si="183"/>
        <v>1.11917767553433</v>
      </c>
      <c r="AI181" s="32">
        <f t="shared" si="184"/>
        <v>0.465687248709793</v>
      </c>
      <c r="AJ181" s="32" t="str">
        <f t="shared" si="165"/>
        <v>1+0,000536055632975582i</v>
      </c>
      <c r="AK181" s="32">
        <f t="shared" si="185"/>
        <v>1.00000014367781</v>
      </c>
      <c r="AL181" s="32">
        <f t="shared" si="186"/>
        <v>0.000536055581629387</v>
      </c>
      <c r="AM181" s="32" t="str">
        <f t="shared" si="166"/>
        <v>1-0,00599328417527539i</v>
      </c>
      <c r="AN181" s="32">
        <f t="shared" si="187"/>
        <v>1.00001795956633</v>
      </c>
      <c r="AO181" s="32">
        <f t="shared" si="188"/>
        <v>-0.00599321241832104</v>
      </c>
      <c r="AP181" s="30" t="str">
        <f t="shared" si="189"/>
        <v>60,0852051539628-30,6077899105134i</v>
      </c>
      <c r="AQ181" s="32">
        <f t="shared" si="190"/>
        <v>36.5773151409395</v>
      </c>
      <c r="AR181" s="31">
        <f t="shared" si="191"/>
        <v>-26.9945859790137</v>
      </c>
      <c r="AS181" t="str">
        <f t="shared" si="167"/>
        <v>-0,000338461538461538</v>
      </c>
      <c r="AT181" t="str">
        <f t="shared" si="168"/>
        <v>0,000469193413874537i</v>
      </c>
      <c r="AU181">
        <f t="shared" si="192"/>
        <v>0.000469193413874537</v>
      </c>
      <c r="AV181">
        <f t="shared" si="193"/>
        <v>1.5707963267949</v>
      </c>
      <c r="AW181" t="str">
        <f t="shared" si="169"/>
        <v>1+0,0761483541248898i</v>
      </c>
      <c r="AX181">
        <f t="shared" si="194"/>
        <v>1.00289509513006</v>
      </c>
      <c r="AY181">
        <f t="shared" si="195"/>
        <v>0.0760016801868088</v>
      </c>
      <c r="AZ181" t="str">
        <f t="shared" si="170"/>
        <v>1+0,664708984889722i</v>
      </c>
      <c r="BA181">
        <f t="shared" si="196"/>
        <v>1.20076560351849</v>
      </c>
      <c r="BB181">
        <f t="shared" si="197"/>
        <v>0.586646060527401</v>
      </c>
      <c r="BC181" s="30" t="str">
        <f t="shared" si="198"/>
        <v>-0,422121634195363+0,753512771110832i</v>
      </c>
      <c r="BD181" s="32">
        <f t="shared" si="199"/>
        <v>-1.27279703043972</v>
      </c>
      <c r="BE181" s="31">
        <f t="shared" si="200"/>
        <v>119.257767825589</v>
      </c>
      <c r="BF181" s="30" t="str">
        <f t="shared" si="201"/>
        <v>2,04691875196515+10,0107986864384i</v>
      </c>
      <c r="BG181" s="68">
        <f t="shared" si="202"/>
        <v>20.1872531895798</v>
      </c>
      <c r="BH181" s="31">
        <f t="shared" si="203"/>
        <v>78.4439598517904</v>
      </c>
      <c r="BI181" s="30" t="str">
        <f t="shared" si="209"/>
        <v>-2,2999043975053+58,1951797344596i</v>
      </c>
      <c r="BJ181" s="68">
        <f t="shared" si="204"/>
        <v>35.3045181104998</v>
      </c>
      <c r="BK181" s="31">
        <f t="shared" si="210"/>
        <v>92.2631818465754</v>
      </c>
      <c r="BL181" s="32">
        <f t="shared" si="205"/>
        <v>20.1872531895798</v>
      </c>
      <c r="BM181" s="31">
        <f t="shared" si="206"/>
        <v>78.4439598517904</v>
      </c>
      <c r="BO181">
        <f t="shared" si="207"/>
        <v>0</v>
      </c>
      <c r="BP181">
        <f t="shared" si="208"/>
        <v>0</v>
      </c>
    </row>
    <row r="182" spans="14:68">
      <c r="N182" s="7">
        <v>64</v>
      </c>
      <c r="O182" s="18">
        <f t="shared" si="158"/>
        <v>436.515832240166</v>
      </c>
      <c r="P182" s="86" t="str">
        <f t="shared" si="159"/>
        <v>15</v>
      </c>
      <c r="Q182" s="4" t="str">
        <f t="shared" si="160"/>
        <v>1+0,799957043515781i</v>
      </c>
      <c r="R182" s="4">
        <f t="shared" si="171"/>
        <v>1.28059801322293</v>
      </c>
      <c r="S182" s="4">
        <f t="shared" si="172"/>
        <v>0.674714748696507</v>
      </c>
      <c r="T182" s="4" t="str">
        <f t="shared" si="161"/>
        <v>1+0,000548541972696536i</v>
      </c>
      <c r="U182" s="4">
        <f t="shared" si="173"/>
        <v>1.00000015044914</v>
      </c>
      <c r="V182" s="4">
        <f t="shared" si="174"/>
        <v>0.000548541917678098</v>
      </c>
      <c r="W182" t="str">
        <f t="shared" si="162"/>
        <v>1-0,0479974226109469i</v>
      </c>
      <c r="X182" s="4">
        <f t="shared" si="175"/>
        <v>1.00115121364222</v>
      </c>
      <c r="Y182" s="4">
        <f t="shared" si="176"/>
        <v>-0.0479606154123602</v>
      </c>
      <c r="Z182" t="str">
        <f t="shared" si="163"/>
        <v>0,999998645005712+0,00254680201609105i</v>
      </c>
      <c r="AA182" s="4">
        <f t="shared" si="177"/>
        <v>1.0000018881051</v>
      </c>
      <c r="AB182" s="4">
        <f t="shared" si="178"/>
        <v>0.00254679996064078</v>
      </c>
      <c r="AC182" s="67" t="str">
        <f t="shared" si="179"/>
        <v>8,77999695958092-7,77355285918535i</v>
      </c>
      <c r="AD182" s="68">
        <f t="shared" si="180"/>
        <v>21.3835471773316</v>
      </c>
      <c r="AE182" s="31">
        <f t="shared" si="181"/>
        <v>-41.520740073758</v>
      </c>
      <c r="AF182" s="32" t="str">
        <f t="shared" si="182"/>
        <v>75,4669735059805</v>
      </c>
      <c r="AG182" s="32" t="str">
        <f t="shared" si="164"/>
        <v>1+0,514258099403003i</v>
      </c>
      <c r="AH182" s="32">
        <f t="shared" si="183"/>
        <v>1.1244827223224</v>
      </c>
      <c r="AI182" s="32">
        <f t="shared" si="184"/>
        <v>0.474988917264931</v>
      </c>
      <c r="AJ182" s="32" t="str">
        <f t="shared" si="165"/>
        <v>1+0,000548541972696536i</v>
      </c>
      <c r="AK182" s="32">
        <f t="shared" si="185"/>
        <v>1.00000015044914</v>
      </c>
      <c r="AL182" s="32">
        <f t="shared" si="186"/>
        <v>0.000548541917678098</v>
      </c>
      <c r="AM182" s="32" t="str">
        <f t="shared" si="166"/>
        <v>1-0,00613288569730644i</v>
      </c>
      <c r="AN182" s="32">
        <f t="shared" si="187"/>
        <v>1.00001880596666</v>
      </c>
      <c r="AO182" s="32">
        <f t="shared" si="188"/>
        <v>-0.00613280880842267</v>
      </c>
      <c r="AP182" s="30" t="str">
        <f t="shared" si="189"/>
        <v>59,5119014429814-31,0259108478399i</v>
      </c>
      <c r="AQ182" s="32">
        <f t="shared" si="190"/>
        <v>36.5362475857884</v>
      </c>
      <c r="AR182" s="31">
        <f t="shared" si="191"/>
        <v>-27.5348151992835</v>
      </c>
      <c r="AS182" t="str">
        <f t="shared" si="167"/>
        <v>-0,000338461538461538</v>
      </c>
      <c r="AT182" t="str">
        <f t="shared" si="168"/>
        <v>0,000480122332442097i</v>
      </c>
      <c r="AU182">
        <f t="shared" si="192"/>
        <v>0.000480122332442097</v>
      </c>
      <c r="AV182">
        <f t="shared" si="193"/>
        <v>1.5707963267949</v>
      </c>
      <c r="AW182" t="str">
        <f t="shared" si="169"/>
        <v>1+0,0779220771497129i</v>
      </c>
      <c r="AX182">
        <f t="shared" si="194"/>
        <v>1.00303133057115</v>
      </c>
      <c r="AY182">
        <f t="shared" si="195"/>
        <v>0.0777649388350287</v>
      </c>
      <c r="AZ182" t="str">
        <f t="shared" si="170"/>
        <v>1+0,680192046143704i</v>
      </c>
      <c r="BA182">
        <f t="shared" si="196"/>
        <v>1.20940531652427</v>
      </c>
      <c r="BB182">
        <f t="shared" si="197"/>
        <v>0.597307968947802</v>
      </c>
      <c r="BC182" s="30" t="str">
        <f t="shared" si="198"/>
        <v>-0,422006973726035+0,737832202432701i</v>
      </c>
      <c r="BD182" s="32">
        <f t="shared" si="199"/>
        <v>-1.41170416883658</v>
      </c>
      <c r="BE182" s="31">
        <f t="shared" si="200"/>
        <v>119.7676229009</v>
      </c>
      <c r="BF182" s="30" t="str">
        <f t="shared" si="201"/>
        <v>2,03035768058321+9,75865801124418i</v>
      </c>
      <c r="BG182" s="68">
        <f t="shared" si="202"/>
        <v>19.971843008495</v>
      </c>
      <c r="BH182" s="31">
        <f t="shared" si="203"/>
        <v>78.2468828271423</v>
      </c>
      <c r="BI182" s="30" t="str">
        <f t="shared" si="209"/>
        <v>-2,2225212952923+57,0029480566235i</v>
      </c>
      <c r="BJ182" s="68">
        <f t="shared" si="204"/>
        <v>35.1245434169519</v>
      </c>
      <c r="BK182" s="31">
        <f t="shared" si="210"/>
        <v>92.2328077016167</v>
      </c>
      <c r="BL182" s="32">
        <f t="shared" si="205"/>
        <v>19.971843008495</v>
      </c>
      <c r="BM182" s="31">
        <f t="shared" si="206"/>
        <v>78.2468828271423</v>
      </c>
      <c r="BO182">
        <f t="shared" si="207"/>
        <v>0</v>
      </c>
      <c r="BP182">
        <f t="shared" si="208"/>
        <v>0</v>
      </c>
    </row>
    <row r="183" spans="14:68">
      <c r="N183" s="7">
        <v>65</v>
      </c>
      <c r="O183" s="18">
        <f t="shared" si="158"/>
        <v>446.683592150963</v>
      </c>
      <c r="P183" s="86" t="str">
        <f t="shared" si="159"/>
        <v>15</v>
      </c>
      <c r="Q183" s="4" t="str">
        <f t="shared" si="160"/>
        <v>1+0,818590436755329i</v>
      </c>
      <c r="R183" s="4">
        <f t="shared" si="171"/>
        <v>1.29231973719636</v>
      </c>
      <c r="S183" s="4">
        <f t="shared" si="172"/>
        <v>0.685974228464653</v>
      </c>
      <c r="T183" s="4" t="str">
        <f t="shared" si="161"/>
        <v>1+0,000561319156632226i</v>
      </c>
      <c r="U183" s="4">
        <f t="shared" si="173"/>
        <v>1.00000015753959</v>
      </c>
      <c r="V183" s="4">
        <f t="shared" si="174"/>
        <v>0.000561319097678908</v>
      </c>
      <c r="W183" t="str">
        <f t="shared" si="162"/>
        <v>1-0,0491154262053198i</v>
      </c>
      <c r="X183" s="4">
        <f t="shared" si="175"/>
        <v>1.00120543600768</v>
      </c>
      <c r="Y183" s="4">
        <f t="shared" si="176"/>
        <v>-0.0490759891456053</v>
      </c>
      <c r="Z183" t="str">
        <f t="shared" si="163"/>
        <v>0,999998581146798+0,00260612465579247i</v>
      </c>
      <c r="AA183" s="4">
        <f t="shared" si="177"/>
        <v>1.00000197708871</v>
      </c>
      <c r="AB183" s="4">
        <f t="shared" si="178"/>
        <v>0.00260612245333801</v>
      </c>
      <c r="AC183" s="67" t="str">
        <f t="shared" si="179"/>
        <v>8,60447375511563-7,81094041474969i</v>
      </c>
      <c r="AD183" s="68">
        <f t="shared" si="180"/>
        <v>21.3048738108945</v>
      </c>
      <c r="AE183" s="31">
        <f t="shared" si="181"/>
        <v>-42.232433801454</v>
      </c>
      <c r="AF183" s="32" t="str">
        <f t="shared" si="182"/>
        <v>75,4669735059805</v>
      </c>
      <c r="AG183" s="32" t="str">
        <f t="shared" si="164"/>
        <v>1+0,526236709342712i</v>
      </c>
      <c r="AH183" s="32">
        <f t="shared" si="183"/>
        <v>1.13001109475078</v>
      </c>
      <c r="AI183" s="32">
        <f t="shared" si="184"/>
        <v>0.484416000929153</v>
      </c>
      <c r="AJ183" s="32" t="str">
        <f t="shared" si="165"/>
        <v>1+0,000561319156632226i</v>
      </c>
      <c r="AK183" s="32">
        <f t="shared" si="185"/>
        <v>1.00000015753959</v>
      </c>
      <c r="AL183" s="32">
        <f t="shared" si="186"/>
        <v>0.000561319097678908</v>
      </c>
      <c r="AM183" s="32" t="str">
        <f t="shared" si="166"/>
        <v>1-0,00627573895651254i</v>
      </c>
      <c r="AN183" s="32">
        <f t="shared" si="187"/>
        <v>1.00001969225583</v>
      </c>
      <c r="AO183" s="32">
        <f t="shared" si="188"/>
        <v>-0.00627565656867684</v>
      </c>
      <c r="AP183" s="30" t="str">
        <f t="shared" si="189"/>
        <v>58,923034174624-31,4387135761819i</v>
      </c>
      <c r="AQ183" s="32">
        <f t="shared" si="190"/>
        <v>36.493656932725</v>
      </c>
      <c r="AR183" s="31">
        <f t="shared" si="191"/>
        <v>-28.0823998016475</v>
      </c>
      <c r="AS183" t="str">
        <f t="shared" si="167"/>
        <v>-0,000338461538461538</v>
      </c>
      <c r="AT183" t="str">
        <f t="shared" si="168"/>
        <v>0,000491305818225489i</v>
      </c>
      <c r="AU183">
        <f t="shared" si="192"/>
        <v>0.000491305818225489</v>
      </c>
      <c r="AV183">
        <f t="shared" si="193"/>
        <v>1.5707963267949</v>
      </c>
      <c r="AW183" t="str">
        <f t="shared" si="169"/>
        <v>1+0,0797371154912614i</v>
      </c>
      <c r="AX183">
        <f t="shared" si="194"/>
        <v>1.00317396676093</v>
      </c>
      <c r="AY183">
        <f t="shared" si="195"/>
        <v>0.0795687675123399</v>
      </c>
      <c r="AZ183" t="str">
        <f t="shared" si="170"/>
        <v>1+0,69603575422396i</v>
      </c>
      <c r="BA183">
        <f t="shared" si="196"/>
        <v>1.21838654422893</v>
      </c>
      <c r="BB183">
        <f t="shared" si="197"/>
        <v>0.608060438787618</v>
      </c>
      <c r="BC183" s="30" t="str">
        <f t="shared" si="198"/>
        <v>-0,421886976219141+0,722542005105616i</v>
      </c>
      <c r="BD183" s="32">
        <f t="shared" si="199"/>
        <v>-1.54867484672422</v>
      </c>
      <c r="BE183" s="31">
        <f t="shared" si="200"/>
        <v>120.280342271889</v>
      </c>
      <c r="BF183" s="30" t="str">
        <f t="shared" si="201"/>
        <v>2,01361713453104+9,51242775290653i</v>
      </c>
      <c r="BG183" s="68">
        <f t="shared" si="202"/>
        <v>19.7561989641703</v>
      </c>
      <c r="BH183" s="31">
        <f t="shared" si="203"/>
        <v>78.0479084704348</v>
      </c>
      <c r="BI183" s="30" t="str">
        <f t="shared" si="209"/>
        <v>-2,14306957231361+55,8379510663146i</v>
      </c>
      <c r="BJ183" s="68">
        <f t="shared" si="204"/>
        <v>34.9449820860008</v>
      </c>
      <c r="BK183" s="31">
        <f t="shared" si="210"/>
        <v>92.1979424702413</v>
      </c>
      <c r="BL183" s="32">
        <f t="shared" si="205"/>
        <v>19.7561989641703</v>
      </c>
      <c r="BM183" s="31">
        <f t="shared" si="206"/>
        <v>78.0479084704348</v>
      </c>
      <c r="BO183">
        <f t="shared" si="207"/>
        <v>0</v>
      </c>
      <c r="BP183">
        <f t="shared" si="208"/>
        <v>0</v>
      </c>
    </row>
    <row r="184" spans="14:68">
      <c r="N184" s="7">
        <v>66</v>
      </c>
      <c r="O184" s="18">
        <f t="shared" ref="O184:O218" si="211">10^(2+(N184/100))</f>
        <v>457.088189614876</v>
      </c>
      <c r="P184" s="86" t="str">
        <f t="shared" si="159"/>
        <v>15</v>
      </c>
      <c r="Q184" s="4" t="str">
        <f t="shared" si="160"/>
        <v>1+0,837657857479771i</v>
      </c>
      <c r="R184" s="4">
        <f t="shared" si="171"/>
        <v>1.30448100262043</v>
      </c>
      <c r="S184" s="4">
        <f t="shared" si="172"/>
        <v>0.69728503238405</v>
      </c>
      <c r="T184" s="4" t="str">
        <f t="shared" si="161"/>
        <v>1+0,0005743939594147i</v>
      </c>
      <c r="U184" s="4">
        <f t="shared" si="173"/>
        <v>1.0000001649642</v>
      </c>
      <c r="V184" s="4">
        <f t="shared" si="174"/>
        <v>0.000574393896245082</v>
      </c>
      <c r="W184" t="str">
        <f t="shared" si="162"/>
        <v>1-0,0502594714487863i</v>
      </c>
      <c r="X184" s="4">
        <f t="shared" si="175"/>
        <v>1.0012622106473</v>
      </c>
      <c r="Y184" s="4">
        <f t="shared" si="176"/>
        <v>-0.0502172167545204</v>
      </c>
      <c r="Z184" t="str">
        <f t="shared" si="163"/>
        <v>0,999998514278307+0,00266682909728253i</v>
      </c>
      <c r="AA184" s="4">
        <f t="shared" si="177"/>
        <v>1.00000207026598</v>
      </c>
      <c r="AB184" s="4">
        <f t="shared" si="178"/>
        <v>0.00266682673731027</v>
      </c>
      <c r="AC184" s="67" t="str">
        <f t="shared" si="179"/>
        <v>8,42734680139725-7,84450866078284i</v>
      </c>
      <c r="AD184" s="68">
        <f t="shared" si="180"/>
        <v>21.224009965464</v>
      </c>
      <c r="AE184" s="31">
        <f t="shared" si="181"/>
        <v>-42.9486116228842</v>
      </c>
      <c r="AF184" s="32" t="str">
        <f t="shared" si="182"/>
        <v>75,4669735059805</v>
      </c>
      <c r="AG184" s="32" t="str">
        <f t="shared" si="164"/>
        <v>1+0,538494336951282i</v>
      </c>
      <c r="AH184" s="32">
        <f t="shared" si="183"/>
        <v>1.13577117014326</v>
      </c>
      <c r="AI184" s="32">
        <f t="shared" si="184"/>
        <v>0.493966794923606</v>
      </c>
      <c r="AJ184" s="32" t="str">
        <f t="shared" si="165"/>
        <v>1+0,0005743939594147i</v>
      </c>
      <c r="AK184" s="32">
        <f t="shared" si="185"/>
        <v>1.0000001649642</v>
      </c>
      <c r="AL184" s="32">
        <f t="shared" si="186"/>
        <v>0.000574393896245082</v>
      </c>
      <c r="AM184" s="32" t="str">
        <f t="shared" si="166"/>
        <v>1-0,00642191969558262i</v>
      </c>
      <c r="AN184" s="32">
        <f t="shared" si="187"/>
        <v>1.00002062031369</v>
      </c>
      <c r="AO184" s="32">
        <f t="shared" si="188"/>
        <v>-0.00642183141552446</v>
      </c>
      <c r="AP184" s="30" t="str">
        <f t="shared" si="189"/>
        <v>58,3186107213936-31,8455366821437i</v>
      </c>
      <c r="AQ184" s="32">
        <f t="shared" si="190"/>
        <v>36.4495023971349</v>
      </c>
      <c r="AR184" s="31">
        <f t="shared" si="191"/>
        <v>-28.637246059548</v>
      </c>
      <c r="AS184" t="str">
        <f t="shared" si="167"/>
        <v>-0,000338461538461538</v>
      </c>
      <c r="AT184" t="str">
        <f t="shared" si="168"/>
        <v>0,000502749800856905i</v>
      </c>
      <c r="AU184">
        <f t="shared" si="192"/>
        <v>0.000502749800856905</v>
      </c>
      <c r="AV184">
        <f t="shared" si="193"/>
        <v>1.5707963267949</v>
      </c>
      <c r="AW184" t="str">
        <f t="shared" si="169"/>
        <v>1+0,081594431506889i</v>
      </c>
      <c r="AX184">
        <f t="shared" si="194"/>
        <v>1.00332330345354</v>
      </c>
      <c r="AY184">
        <f t="shared" si="195"/>
        <v>0.0814140756520213</v>
      </c>
      <c r="AZ184" t="str">
        <f t="shared" si="170"/>
        <v>1+0,712248509674228i</v>
      </c>
      <c r="BA184">
        <f t="shared" si="196"/>
        <v>1.22772062764016</v>
      </c>
      <c r="BB184">
        <f t="shared" si="197"/>
        <v>0.618899225959104</v>
      </c>
      <c r="BC184" s="30" t="str">
        <f t="shared" si="198"/>
        <v>-0,421761396524731+0,707634012964833i</v>
      </c>
      <c r="BD184" s="32">
        <f t="shared" si="199"/>
        <v>-1.68367859458541</v>
      </c>
      <c r="BE184" s="31">
        <f t="shared" si="200"/>
        <v>120.79563066355</v>
      </c>
      <c r="BF184" s="30" t="str">
        <f t="shared" si="201"/>
        <v>1,99671158741162+9,2719881635412i</v>
      </c>
      <c r="BG184" s="68">
        <f t="shared" si="202"/>
        <v>19.5403313708785</v>
      </c>
      <c r="BH184" s="31">
        <f t="shared" si="203"/>
        <v>77.8470190406662</v>
      </c>
      <c r="BI184" s="30" t="str">
        <f t="shared" si="209"/>
        <v>-2,06155378383297+54,6994505594542i</v>
      </c>
      <c r="BJ184" s="68">
        <f t="shared" si="204"/>
        <v>34.7658238025495</v>
      </c>
      <c r="BK184" s="31">
        <f t="shared" si="210"/>
        <v>92.1583846040024</v>
      </c>
      <c r="BL184" s="32">
        <f t="shared" si="205"/>
        <v>19.5403313708785</v>
      </c>
      <c r="BM184" s="31">
        <f t="shared" si="206"/>
        <v>77.8470190406662</v>
      </c>
      <c r="BO184">
        <f t="shared" si="207"/>
        <v>0</v>
      </c>
      <c r="BP184">
        <f t="shared" si="208"/>
        <v>0</v>
      </c>
    </row>
    <row r="185" spans="14:68">
      <c r="N185" s="7">
        <v>67</v>
      </c>
      <c r="O185" s="18">
        <f t="shared" si="211"/>
        <v>467.735141287198</v>
      </c>
      <c r="P185" s="86" t="str">
        <f t="shared" si="159"/>
        <v>15</v>
      </c>
      <c r="Q185" s="4" t="str">
        <f t="shared" si="160"/>
        <v>1+0,857169415487959i</v>
      </c>
      <c r="R185" s="4">
        <f t="shared" si="171"/>
        <v>1.31709506370951</v>
      </c>
      <c r="S185" s="4">
        <f t="shared" si="172"/>
        <v>0.708641582031581</v>
      </c>
      <c r="T185" s="4" t="str">
        <f t="shared" si="161"/>
        <v>1+0,000587773313477458i</v>
      </c>
      <c r="U185" s="4">
        <f t="shared" si="173"/>
        <v>1.00000017273872</v>
      </c>
      <c r="V185" s="4">
        <f t="shared" si="174"/>
        <v>0.000587773245789993</v>
      </c>
      <c r="W185" t="str">
        <f t="shared" si="162"/>
        <v>1-0,0514301649292776i</v>
      </c>
      <c r="X185" s="4">
        <f t="shared" si="175"/>
        <v>1.001321657543</v>
      </c>
      <c r="Y185" s="4">
        <f t="shared" si="176"/>
        <v>-0.0513848914356528</v>
      </c>
      <c r="Z185" t="str">
        <f t="shared" si="163"/>
        <v>0,999998444258401+0,00272894752685962i</v>
      </c>
      <c r="AA185" s="4">
        <f t="shared" si="177"/>
        <v>1.00000216783456</v>
      </c>
      <c r="AB185" s="4">
        <f t="shared" si="178"/>
        <v>0.00272894499810402</v>
      </c>
      <c r="AC185" s="67" t="str">
        <f t="shared" si="179"/>
        <v>8,24878426449707-7,87417224056959i</v>
      </c>
      <c r="AD185" s="68">
        <f t="shared" si="180"/>
        <v>21.1409376024265</v>
      </c>
      <c r="AE185" s="31">
        <f t="shared" si="181"/>
        <v>-43.6689893525044</v>
      </c>
      <c r="AF185" s="32" t="str">
        <f t="shared" si="182"/>
        <v>75,4669735059805</v>
      </c>
      <c r="AG185" s="32" t="str">
        <f t="shared" si="164"/>
        <v>1+0,551037481385117i</v>
      </c>
      <c r="AH185" s="32">
        <f t="shared" si="183"/>
        <v>1.141771564671</v>
      </c>
      <c r="AI185" s="32">
        <f t="shared" si="184"/>
        <v>0.503639392772607</v>
      </c>
      <c r="AJ185" s="32" t="str">
        <f t="shared" si="165"/>
        <v>1+0,000587773313477458i</v>
      </c>
      <c r="AK185" s="32">
        <f t="shared" si="185"/>
        <v>1.00000017273872</v>
      </c>
      <c r="AL185" s="32">
        <f t="shared" si="186"/>
        <v>0.000587773245789993</v>
      </c>
      <c r="AM185" s="32" t="str">
        <f t="shared" si="166"/>
        <v>1-0,00657150542147945i</v>
      </c>
      <c r="AN185" s="32">
        <f t="shared" si="187"/>
        <v>1.00002159210864</v>
      </c>
      <c r="AO185" s="32">
        <f t="shared" si="188"/>
        <v>-0.00657141082780318</v>
      </c>
      <c r="AP185" s="30" t="str">
        <f t="shared" si="189"/>
        <v>57,698672694041-32,2457054330501i</v>
      </c>
      <c r="AQ185" s="32">
        <f t="shared" si="190"/>
        <v>36.403743259019</v>
      </c>
      <c r="AR185" s="31">
        <f t="shared" si="191"/>
        <v>-29.1992487819872</v>
      </c>
      <c r="AS185" t="str">
        <f t="shared" si="167"/>
        <v>-0,000338461538461538</v>
      </c>
      <c r="AT185" t="str">
        <f t="shared" si="168"/>
        <v>0,000514460348087415i</v>
      </c>
      <c r="AU185">
        <f t="shared" si="192"/>
        <v>0.000514460348087415</v>
      </c>
      <c r="AV185">
        <f t="shared" si="193"/>
        <v>1.5707963267949</v>
      </c>
      <c r="AW185" t="str">
        <f t="shared" si="169"/>
        <v>1+0,0834950099701315i</v>
      </c>
      <c r="AX185">
        <f t="shared" si="194"/>
        <v>1.00347965434777</v>
      </c>
      <c r="AY185">
        <f t="shared" si="195"/>
        <v>0.0833017913642639</v>
      </c>
      <c r="AZ185" t="str">
        <f t="shared" si="170"/>
        <v>1+0,728838908712048i</v>
      </c>
      <c r="BA185">
        <f t="shared" si="196"/>
        <v>1.23741915083474</v>
      </c>
      <c r="BB185">
        <f t="shared" si="197"/>
        <v>0.629819890797892</v>
      </c>
      <c r="BC185" s="30" t="str">
        <f t="shared" si="198"/>
        <v>-0,421629978545346+0,693100258361462i</v>
      </c>
      <c r="BD185" s="32">
        <f t="shared" si="199"/>
        <v>-1.81668643088897</v>
      </c>
      <c r="BE185" s="31">
        <f t="shared" si="200"/>
        <v>121.313180525058</v>
      </c>
      <c r="BF185" s="30" t="str">
        <f t="shared" si="201"/>
        <v>1,97965608185635+9,0372215777446i</v>
      </c>
      <c r="BG185" s="68">
        <f t="shared" si="202"/>
        <v>19.3242511715375</v>
      </c>
      <c r="BH185" s="31">
        <f t="shared" si="203"/>
        <v>77.6441911725536</v>
      </c>
      <c r="BI185" s="30" t="str">
        <f t="shared" si="209"/>
        <v>-1,97798336338882+53,5867210412697i</v>
      </c>
      <c r="BJ185" s="68">
        <f t="shared" si="204"/>
        <v>34.58705682813</v>
      </c>
      <c r="BK185" s="31">
        <f t="shared" si="210"/>
        <v>92.1139317430708</v>
      </c>
      <c r="BL185" s="32">
        <f t="shared" si="205"/>
        <v>19.3242511715375</v>
      </c>
      <c r="BM185" s="31">
        <f t="shared" si="206"/>
        <v>77.6441911725536</v>
      </c>
      <c r="BO185">
        <f t="shared" si="207"/>
        <v>0</v>
      </c>
      <c r="BP185">
        <f t="shared" si="208"/>
        <v>0</v>
      </c>
    </row>
    <row r="186" spans="14:68">
      <c r="N186" s="7">
        <v>68</v>
      </c>
      <c r="O186" s="18">
        <f t="shared" si="211"/>
        <v>478.630092322639</v>
      </c>
      <c r="P186" s="86" t="str">
        <f t="shared" si="159"/>
        <v>15</v>
      </c>
      <c r="Q186" s="4" t="str">
        <f t="shared" si="160"/>
        <v>1+0,877135456066219i</v>
      </c>
      <c r="R186" s="4">
        <f t="shared" si="171"/>
        <v>1.33017540508329</v>
      </c>
      <c r="S186" s="4">
        <f t="shared" si="172"/>
        <v>0.72003818228148</v>
      </c>
      <c r="T186" s="4" t="str">
        <f t="shared" si="161"/>
        <v>1+0,000601464312731122i</v>
      </c>
      <c r="U186" s="4">
        <f t="shared" si="173"/>
        <v>1.00000018087964</v>
      </c>
      <c r="V186" s="4">
        <f t="shared" si="174"/>
        <v>0.000601464240202698</v>
      </c>
      <c r="W186" t="str">
        <f t="shared" si="162"/>
        <v>1-0,0526281273639732i</v>
      </c>
      <c r="X186" s="4">
        <f t="shared" si="175"/>
        <v>1.00138390230213</v>
      </c>
      <c r="Y186" s="4">
        <f t="shared" si="176"/>
        <v>-0.0525796195616837</v>
      </c>
      <c r="Z186" t="str">
        <f t="shared" si="163"/>
        <v>0,999998370938558+0,00279251288053734i</v>
      </c>
      <c r="AA186" s="4">
        <f t="shared" si="177"/>
        <v>1.0000022700014</v>
      </c>
      <c r="AB186" s="4">
        <f t="shared" si="178"/>
        <v>0.00279251017092716</v>
      </c>
      <c r="AC186" s="67" t="str">
        <f t="shared" si="179"/>
        <v>8,0689601126506-7,89985496878197i</v>
      </c>
      <c r="AD186" s="68">
        <f t="shared" si="180"/>
        <v>21.0556408785203</v>
      </c>
      <c r="AE186" s="31">
        <f t="shared" si="181"/>
        <v>-44.3932769068381</v>
      </c>
      <c r="AF186" s="32" t="str">
        <f t="shared" si="182"/>
        <v>75,4669735059805</v>
      </c>
      <c r="AG186" s="32" t="str">
        <f t="shared" si="164"/>
        <v>1+0,563872793185427i</v>
      </c>
      <c r="AH186" s="32">
        <f t="shared" si="183"/>
        <v>1.14802113521256</v>
      </c>
      <c r="AI186" s="32">
        <f t="shared" si="184"/>
        <v>0.513431682564197</v>
      </c>
      <c r="AJ186" s="32" t="str">
        <f t="shared" si="165"/>
        <v>1+0,000601464312731122i</v>
      </c>
      <c r="AK186" s="32">
        <f t="shared" si="185"/>
        <v>1.00000018087964</v>
      </c>
      <c r="AL186" s="32">
        <f t="shared" si="186"/>
        <v>0.000601464240202698</v>
      </c>
      <c r="AM186" s="32" t="str">
        <f t="shared" si="166"/>
        <v>1-0,0067245754465349i</v>
      </c>
      <c r="AN186" s="32">
        <f t="shared" si="187"/>
        <v>1.00002260970187</v>
      </c>
      <c r="AO186" s="32">
        <f t="shared" si="188"/>
        <v>-0.00672447408770839</v>
      </c>
      <c r="AP186" s="30" t="str">
        <f t="shared" si="189"/>
        <v>57,0632975940203-32,6385336684204i</v>
      </c>
      <c r="AQ186" s="32">
        <f t="shared" si="190"/>
        <v>36.3563389549794</v>
      </c>
      <c r="AR186" s="31">
        <f t="shared" si="191"/>
        <v>-29.7682911014082</v>
      </c>
      <c r="AS186" t="str">
        <f t="shared" si="167"/>
        <v>-0,000338461538461538</v>
      </c>
      <c r="AT186" t="str">
        <f t="shared" si="168"/>
        <v>0,00052644366900417i</v>
      </c>
      <c r="AU186">
        <f t="shared" si="192"/>
        <v>0.00052644366900417</v>
      </c>
      <c r="AV186">
        <f t="shared" si="193"/>
        <v>1.5707963267949</v>
      </c>
      <c r="AW186" t="str">
        <f t="shared" si="169"/>
        <v>1+0,0854398585928473i</v>
      </c>
      <c r="AX186">
        <f t="shared" si="194"/>
        <v>1.00364334772685</v>
      </c>
      <c r="AY186">
        <f t="shared" si="195"/>
        <v>0.0852328616964127</v>
      </c>
      <c r="AZ186" t="str">
        <f t="shared" si="170"/>
        <v>1+0,745815747786591i</v>
      </c>
      <c r="BA186">
        <f t="shared" si="196"/>
        <v>1.24749393972334</v>
      </c>
      <c r="BB186">
        <f t="shared" si="197"/>
        <v>0.640817804545391</v>
      </c>
      <c r="BC186" s="30" t="str">
        <f t="shared" si="198"/>
        <v>-0,421492454777212+0,678932967653359i</v>
      </c>
      <c r="BD186" s="32">
        <f t="shared" si="199"/>
        <v>-1.94767097867572</v>
      </c>
      <c r="BE186" s="31">
        <f t="shared" si="200"/>
        <v>121.832672386264</v>
      </c>
      <c r="BF186" s="30" t="str">
        <f t="shared" si="201"/>
        <v>1,96246617260577+8,80801229833432i</v>
      </c>
      <c r="BG186" s="68">
        <f t="shared" si="202"/>
        <v>19.1079698998446</v>
      </c>
      <c r="BH186" s="31">
        <f t="shared" si="203"/>
        <v>77.4393954794254</v>
      </c>
      <c r="BI186" s="30" t="str">
        <f t="shared" si="209"/>
        <v>-1,89237285723145+52,4990496558262i</v>
      </c>
      <c r="BJ186" s="68">
        <f t="shared" si="204"/>
        <v>34.4086679763037</v>
      </c>
      <c r="BK186" s="31">
        <f t="shared" si="210"/>
        <v>92.0643812848553</v>
      </c>
      <c r="BL186" s="32">
        <f t="shared" si="205"/>
        <v>19.1079698998446</v>
      </c>
      <c r="BM186" s="31">
        <f t="shared" si="206"/>
        <v>77.4393954794254</v>
      </c>
      <c r="BO186">
        <f t="shared" si="207"/>
        <v>0</v>
      </c>
      <c r="BP186">
        <f t="shared" si="208"/>
        <v>0</v>
      </c>
    </row>
    <row r="187" spans="14:68">
      <c r="N187" s="7">
        <v>69</v>
      </c>
      <c r="O187" s="18">
        <f t="shared" si="211"/>
        <v>489.778819368446</v>
      </c>
      <c r="P187" s="86" t="str">
        <f t="shared" si="159"/>
        <v>15</v>
      </c>
      <c r="Q187" s="4" t="str">
        <f t="shared" si="160"/>
        <v>1+0,897566565473547i</v>
      </c>
      <c r="R187" s="4">
        <f t="shared" si="171"/>
        <v>1.34373574018703</v>
      </c>
      <c r="S187" s="4">
        <f t="shared" si="172"/>
        <v>0.731469034899315</v>
      </c>
      <c r="T187" s="4" t="str">
        <f t="shared" si="161"/>
        <v>1+0,000615474216324718i</v>
      </c>
      <c r="U187" s="4">
        <f t="shared" si="173"/>
        <v>1.00000018940424</v>
      </c>
      <c r="V187" s="4">
        <f t="shared" si="174"/>
        <v>0.000615474138609112</v>
      </c>
      <c r="W187" t="str">
        <f t="shared" si="162"/>
        <v>1-0,0538539939284129i</v>
      </c>
      <c r="X187" s="4">
        <f t="shared" si="175"/>
        <v>1.00144907641979</v>
      </c>
      <c r="Y187" s="4">
        <f t="shared" si="176"/>
        <v>-0.0538020209429362</v>
      </c>
      <c r="Z187" t="str">
        <f t="shared" si="163"/>
        <v>0,999998294163258+0,00285755886150761i</v>
      </c>
      <c r="AA187" s="4">
        <f t="shared" si="177"/>
        <v>1.00000237698321</v>
      </c>
      <c r="AB187" s="4">
        <f t="shared" si="178"/>
        <v>0.00285755595810829</v>
      </c>
      <c r="AC187" s="67" t="str">
        <f t="shared" si="179"/>
        <v>7,88805347200985-7,92149030007378i</v>
      </c>
      <c r="AD187" s="68">
        <f t="shared" si="180"/>
        <v>20.9681062168703</v>
      </c>
      <c r="AE187" s="31">
        <f t="shared" si="181"/>
        <v>-45.1211790991233</v>
      </c>
      <c r="AF187" s="32" t="str">
        <f t="shared" si="182"/>
        <v>75,4669735059805</v>
      </c>
      <c r="AG187" s="32" t="str">
        <f t="shared" si="164"/>
        <v>1+0,577007077804424i</v>
      </c>
      <c r="AH187" s="32">
        <f t="shared" si="183"/>
        <v>1.15452898094262</v>
      </c>
      <c r="AI187" s="32">
        <f t="shared" si="184"/>
        <v>0.523341343809116</v>
      </c>
      <c r="AJ187" s="32" t="str">
        <f t="shared" si="165"/>
        <v>1+0,000615474216324718i</v>
      </c>
      <c r="AK187" s="32">
        <f t="shared" si="185"/>
        <v>1.00000018940424</v>
      </c>
      <c r="AL187" s="32">
        <f t="shared" si="186"/>
        <v>0.000615474138609112</v>
      </c>
      <c r="AM187" s="32" t="str">
        <f t="shared" si="166"/>
        <v>1-0,0068812109305024i</v>
      </c>
      <c r="AN187" s="32">
        <f t="shared" si="187"/>
        <v>1.00002367525168</v>
      </c>
      <c r="AO187" s="32">
        <f t="shared" si="188"/>
        <v>-0.00688110232270191</v>
      </c>
      <c r="AP187" s="30" t="str">
        <f t="shared" si="189"/>
        <v>56,4126003627787-33,0233258732801i</v>
      </c>
      <c r="AQ187" s="32">
        <f t="shared" si="190"/>
        <v>36.3072491744095</v>
      </c>
      <c r="AR187" s="31">
        <f t="shared" si="191"/>
        <v>-30.3442442959141</v>
      </c>
      <c r="AS187" t="str">
        <f t="shared" si="167"/>
        <v>-0,000338461538461538</v>
      </c>
      <c r="AT187" t="str">
        <f t="shared" si="168"/>
        <v>0,000538706117322535i</v>
      </c>
      <c r="AU187">
        <f t="shared" si="192"/>
        <v>0.000538706117322535</v>
      </c>
      <c r="AV187">
        <f t="shared" si="193"/>
        <v>1.5707963267949</v>
      </c>
      <c r="AW187" t="str">
        <f t="shared" si="169"/>
        <v>1+0,0874300085595193i</v>
      </c>
      <c r="AX187">
        <f t="shared" si="194"/>
        <v>1.00381472712683</v>
      </c>
      <c r="AY187">
        <f t="shared" si="195"/>
        <v>0.0872082528873033</v>
      </c>
      <c r="AZ187" t="str">
        <f t="shared" si="170"/>
        <v>1+0,76318802824265i</v>
      </c>
      <c r="BA187">
        <f t="shared" si="196"/>
        <v>1.25795706065545</v>
      </c>
      <c r="BB187">
        <f t="shared" si="197"/>
        <v>0.651888156822003</v>
      </c>
      <c r="BC187" s="30" t="str">
        <f t="shared" si="198"/>
        <v>-0,421348545835133+0,665124556779796i</v>
      </c>
      <c r="BD187" s="32">
        <f t="shared" si="199"/>
        <v>-2.07660657973319</v>
      </c>
      <c r="BE187" s="31">
        <f t="shared" si="200"/>
        <v>122.353775271311</v>
      </c>
      <c r="BF187" s="30" t="str">
        <f t="shared" si="201"/>
        <v>1,9451578649709+8,58424648820908i</v>
      </c>
      <c r="BG187" s="68">
        <f t="shared" si="202"/>
        <v>18.8914996371371</v>
      </c>
      <c r="BH187" s="31">
        <f t="shared" si="203"/>
        <v>77.2325961721879</v>
      </c>
      <c r="BI187" s="30" t="str">
        <f t="shared" si="209"/>
        <v>-1,8047421447751+51,4357361484352i</v>
      </c>
      <c r="BJ187" s="68">
        <f t="shared" si="204"/>
        <v>34.2306425946763</v>
      </c>
      <c r="BK187" s="31">
        <f t="shared" si="210"/>
        <v>92.009530975397</v>
      </c>
      <c r="BL187" s="32">
        <f t="shared" si="205"/>
        <v>18.8914996371371</v>
      </c>
      <c r="BM187" s="31">
        <f t="shared" si="206"/>
        <v>77.2325961721879</v>
      </c>
      <c r="BO187">
        <f t="shared" si="207"/>
        <v>0</v>
      </c>
      <c r="BP187">
        <f t="shared" si="208"/>
        <v>0</v>
      </c>
    </row>
    <row r="188" spans="14:68">
      <c r="N188" s="7">
        <v>70</v>
      </c>
      <c r="O188" s="18">
        <f t="shared" si="211"/>
        <v>501.187233627273</v>
      </c>
      <c r="P188" s="86" t="str">
        <f t="shared" si="159"/>
        <v>15</v>
      </c>
      <c r="Q188" s="4" t="str">
        <f t="shared" si="160"/>
        <v>1+0,918473576554584i</v>
      </c>
      <c r="R188" s="4">
        <f t="shared" si="171"/>
        <v>1.35779000984282</v>
      </c>
      <c r="S188" s="4">
        <f t="shared" si="172"/>
        <v>0.74292825277442</v>
      </c>
      <c r="T188" s="4" t="str">
        <f t="shared" si="161"/>
        <v>1+0,000629810452494572i</v>
      </c>
      <c r="U188" s="4">
        <f t="shared" si="173"/>
        <v>1.00000019833058</v>
      </c>
      <c r="V188" s="4">
        <f t="shared" si="174"/>
        <v>0.000629810369220801</v>
      </c>
      <c r="W188" t="str">
        <f t="shared" si="162"/>
        <v>1-0,0551084145932751i</v>
      </c>
      <c r="X188" s="4">
        <f t="shared" si="175"/>
        <v>1.00151731755321</v>
      </c>
      <c r="Y188" s="4">
        <f t="shared" si="176"/>
        <v>-0.0550527290917826</v>
      </c>
      <c r="Z188" t="str">
        <f t="shared" si="163"/>
        <v>0,999998213769649+0,0029241199580105i</v>
      </c>
      <c r="AA188" s="4">
        <f t="shared" si="177"/>
        <v>1.00000248900691</v>
      </c>
      <c r="AB188" s="4">
        <f t="shared" si="178"/>
        <v>0.00292411684696241</v>
      </c>
      <c r="AC188" s="67" t="str">
        <f t="shared" si="179"/>
        <v>7,70624793822037-7,93902174353685i</v>
      </c>
      <c r="AD188" s="68">
        <f t="shared" si="180"/>
        <v>20.8783223697582</v>
      </c>
      <c r="AE188" s="31">
        <f t="shared" si="181"/>
        <v>-45.852396470723</v>
      </c>
      <c r="AF188" s="32" t="str">
        <f t="shared" si="182"/>
        <v>75,4669735059805</v>
      </c>
      <c r="AG188" s="32" t="str">
        <f t="shared" si="164"/>
        <v>1+0,590447299213662i</v>
      </c>
      <c r="AH188" s="32">
        <f t="shared" si="183"/>
        <v>1.16130444464348</v>
      </c>
      <c r="AI188" s="32">
        <f t="shared" si="184"/>
        <v>0.533365844952565</v>
      </c>
      <c r="AJ188" s="32" t="str">
        <f t="shared" si="165"/>
        <v>1+0,000629810452494572i</v>
      </c>
      <c r="AK188" s="32">
        <f t="shared" si="185"/>
        <v>1.00000019833058</v>
      </c>
      <c r="AL188" s="32">
        <f t="shared" si="186"/>
        <v>0.000629810369220801</v>
      </c>
      <c r="AM188" s="32" t="str">
        <f t="shared" si="166"/>
        <v>1-0,00704149492358882i</v>
      </c>
      <c r="AN188" s="32">
        <f t="shared" si="187"/>
        <v>1.00002479101808</v>
      </c>
      <c r="AO188" s="32">
        <f t="shared" si="188"/>
        <v>-0.00704137854838971</v>
      </c>
      <c r="AP188" s="30" t="str">
        <f t="shared" si="189"/>
        <v>55,7467348079305-33,3993794294316i</v>
      </c>
      <c r="AQ188" s="32">
        <f t="shared" si="190"/>
        <v>36.2564339595898</v>
      </c>
      <c r="AR188" s="31">
        <f t="shared" si="191"/>
        <v>-30.9269676489378</v>
      </c>
      <c r="AS188" t="str">
        <f t="shared" si="167"/>
        <v>-0,000338461538461538</v>
      </c>
      <c r="AT188" t="str">
        <f t="shared" si="168"/>
        <v>0,000551254194754924i</v>
      </c>
      <c r="AU188">
        <f t="shared" si="192"/>
        <v>0.000551254194754924</v>
      </c>
      <c r="AV188">
        <f t="shared" si="193"/>
        <v>1.5707963267949</v>
      </c>
      <c r="AW188" t="str">
        <f t="shared" si="169"/>
        <v>1+0,0894665150740023i</v>
      </c>
      <c r="AX188">
        <f t="shared" si="194"/>
        <v>1.00399415203451</v>
      </c>
      <c r="AY188">
        <f t="shared" si="195"/>
        <v>0.0892289506147656</v>
      </c>
      <c r="AZ188" t="str">
        <f t="shared" si="170"/>
        <v>1+0,780964961093269i</v>
      </c>
      <c r="BA188">
        <f t="shared" si="196"/>
        <v>1.26882081889265</v>
      </c>
      <c r="BB188">
        <f t="shared" si="197"/>
        <v>0.663025964079362</v>
      </c>
      <c r="BC188" s="30" t="str">
        <f t="shared" si="198"/>
        <v>-0,421197959960776+0,651667626916469i</v>
      </c>
      <c r="BD188" s="32">
        <f t="shared" si="199"/>
        <v>-2.20346940559133</v>
      </c>
      <c r="BE188" s="31">
        <f t="shared" si="200"/>
        <v>122.876147168733</v>
      </c>
      <c r="BF188" s="30" t="str">
        <f t="shared" si="201"/>
        <v>1,92774754911855+8,36581206879196i</v>
      </c>
      <c r="BG188" s="68">
        <f t="shared" si="202"/>
        <v>18.6748529641668</v>
      </c>
      <c r="BH188" s="31">
        <f t="shared" si="203"/>
        <v>77.0237506980097</v>
      </c>
      <c r="BI188" s="30" t="str">
        <f t="shared" si="209"/>
        <v>-1,71511664231429+50,3960928602583i</v>
      </c>
      <c r="BJ188" s="68">
        <f t="shared" si="204"/>
        <v>34.0529645539985</v>
      </c>
      <c r="BK188" s="31">
        <f t="shared" si="210"/>
        <v>91.9491795197949</v>
      </c>
      <c r="BL188" s="32">
        <f t="shared" si="205"/>
        <v>18.6748529641668</v>
      </c>
      <c r="BM188" s="31">
        <f t="shared" si="206"/>
        <v>77.0237506980097</v>
      </c>
      <c r="BO188">
        <f t="shared" si="207"/>
        <v>0</v>
      </c>
      <c r="BP188">
        <f t="shared" si="208"/>
        <v>0</v>
      </c>
    </row>
    <row r="189" spans="14:68">
      <c r="N189" s="7">
        <v>71</v>
      </c>
      <c r="O189" s="18">
        <f t="shared" si="211"/>
        <v>512.861383991365</v>
      </c>
      <c r="P189" s="86" t="str">
        <f t="shared" si="159"/>
        <v>15</v>
      </c>
      <c r="Q189" s="4" t="str">
        <f t="shared" si="160"/>
        <v>1+0,939867574483346i</v>
      </c>
      <c r="R189" s="4">
        <f t="shared" si="171"/>
        <v>1.37235238097407</v>
      </c>
      <c r="S189" s="4">
        <f t="shared" si="172"/>
        <v>0.754409874709053</v>
      </c>
      <c r="T189" s="4" t="str">
        <f t="shared" si="161"/>
        <v>1+0,000644480622502866i</v>
      </c>
      <c r="U189" s="4">
        <f t="shared" si="173"/>
        <v>1.00000020767761</v>
      </c>
      <c r="V189" s="4">
        <f t="shared" si="174"/>
        <v>0.000644480533273413</v>
      </c>
      <c r="W189" t="str">
        <f t="shared" si="162"/>
        <v>1-0,0563920544690008i</v>
      </c>
      <c r="X189" s="4">
        <f t="shared" si="175"/>
        <v>1.00158876980886</v>
      </c>
      <c r="Y189" s="4">
        <f t="shared" si="176"/>
        <v>-0.056332391489799</v>
      </c>
      <c r="Z189" t="str">
        <f t="shared" si="163"/>
        <v>0,999998129587206+0,00299223146162044i</v>
      </c>
      <c r="AA189" s="4">
        <f t="shared" si="177"/>
        <v>1.00000260631012</v>
      </c>
      <c r="AB189" s="4">
        <f t="shared" si="178"/>
        <v>0.00299222812807273</v>
      </c>
      <c r="AC189" s="67" t="str">
        <f t="shared" si="179"/>
        <v>7,52373084919447-7,95240321827455i</v>
      </c>
      <c r="AD189" s="68">
        <f t="shared" si="180"/>
        <v>20.7862804726089</v>
      </c>
      <c r="AE189" s="31">
        <f t="shared" si="181"/>
        <v>-46.5866261546101</v>
      </c>
      <c r="AF189" s="32" t="str">
        <f t="shared" si="182"/>
        <v>75,4669735059805</v>
      </c>
      <c r="AG189" s="32" t="str">
        <f t="shared" si="164"/>
        <v>1+0,604200583596437i</v>
      </c>
      <c r="AH189" s="32">
        <f t="shared" si="183"/>
        <v>1.16835711373632</v>
      </c>
      <c r="AI189" s="32">
        <f t="shared" si="184"/>
        <v>0.543502441591611</v>
      </c>
      <c r="AJ189" s="32" t="str">
        <f t="shared" si="165"/>
        <v>1+0,000644480622502866i</v>
      </c>
      <c r="AK189" s="32">
        <f t="shared" si="185"/>
        <v>1.00000020767761</v>
      </c>
      <c r="AL189" s="32">
        <f t="shared" si="186"/>
        <v>0.000644480533273413</v>
      </c>
      <c r="AM189" s="32" t="str">
        <f t="shared" si="166"/>
        <v>1-0,00720551241048894i</v>
      </c>
      <c r="AN189" s="32">
        <f t="shared" si="187"/>
        <v>1.0000259593676</v>
      </c>
      <c r="AO189" s="32">
        <f t="shared" si="188"/>
        <v>-0.00720538771239127</v>
      </c>
      <c r="AP189" s="30" t="str">
        <f t="shared" si="189"/>
        <v>55,0658948860973-33,7659870385559i</v>
      </c>
      <c r="AQ189" s="32">
        <f t="shared" si="190"/>
        <v>36.2038538093421</v>
      </c>
      <c r="AR189" s="31">
        <f t="shared" si="191"/>
        <v>-31.5163083493954</v>
      </c>
      <c r="AS189" t="str">
        <f t="shared" si="167"/>
        <v>-0,000338461538461538</v>
      </c>
      <c r="AT189" t="str">
        <f t="shared" si="168"/>
        <v>0,000564094554458084i</v>
      </c>
      <c r="AU189">
        <f t="shared" si="192"/>
        <v>0.000564094554458084</v>
      </c>
      <c r="AV189">
        <f t="shared" si="193"/>
        <v>1.5707963267949</v>
      </c>
      <c r="AW189" t="str">
        <f t="shared" si="169"/>
        <v>1+0,091550457919007i</v>
      </c>
      <c r="AX189">
        <f t="shared" si="194"/>
        <v>1.00418199861638</v>
      </c>
      <c r="AY189">
        <f t="shared" si="195"/>
        <v>0.0912959602352934</v>
      </c>
      <c r="AZ189" t="str">
        <f t="shared" si="170"/>
        <v>1+0,799155971903554i</v>
      </c>
      <c r="BA189">
        <f t="shared" si="196"/>
        <v>1.28009775698152</v>
      </c>
      <c r="BB189">
        <f t="shared" si="197"/>
        <v>0.674226079010699</v>
      </c>
      <c r="BC189" s="30" t="str">
        <f t="shared" si="198"/>
        <v>-0,421040392514117+0,63855496020716i</v>
      </c>
      <c r="BD189" s="32">
        <f t="shared" si="199"/>
        <v>-2.32823756457227</v>
      </c>
      <c r="BE189" s="31">
        <f t="shared" si="200"/>
        <v>123.399435556891</v>
      </c>
      <c r="BF189" s="30" t="str">
        <f t="shared" si="201"/>
        <v>1,91025193068119+8,1525986254696i</v>
      </c>
      <c r="BG189" s="68">
        <f t="shared" si="202"/>
        <v>18.4580429080366</v>
      </c>
      <c r="BH189" s="31">
        <f t="shared" si="203"/>
        <v>76.8128094022804</v>
      </c>
      <c r="BI189" s="30" t="str">
        <f t="shared" si="209"/>
        <v>-1,62352748722297+49,3794447541037i</v>
      </c>
      <c r="BJ189" s="68">
        <f t="shared" si="204"/>
        <v>33.8756162447698</v>
      </c>
      <c r="BK189" s="31">
        <f t="shared" si="210"/>
        <v>91.8831272074951</v>
      </c>
      <c r="BL189" s="32">
        <f t="shared" si="205"/>
        <v>18.4580429080366</v>
      </c>
      <c r="BM189" s="31">
        <f t="shared" si="206"/>
        <v>76.8128094022804</v>
      </c>
      <c r="BO189">
        <f t="shared" si="207"/>
        <v>0</v>
      </c>
      <c r="BP189">
        <f t="shared" si="208"/>
        <v>0</v>
      </c>
    </row>
    <row r="190" spans="14:68">
      <c r="N190" s="7">
        <v>72</v>
      </c>
      <c r="O190" s="18">
        <f t="shared" si="211"/>
        <v>524.807460249772</v>
      </c>
      <c r="P190" s="86" t="str">
        <f t="shared" si="159"/>
        <v>15</v>
      </c>
      <c r="Q190" s="4" t="str">
        <f t="shared" si="160"/>
        <v>1+0,961759902640719i</v>
      </c>
      <c r="R190" s="4">
        <f t="shared" si="171"/>
        <v>1.38743724554572</v>
      </c>
      <c r="S190" s="4">
        <f t="shared" si="172"/>
        <v>0.76590788067615</v>
      </c>
      <c r="T190" s="4" t="str">
        <f t="shared" si="161"/>
        <v>1+0,000659492504667922i</v>
      </c>
      <c r="U190" s="4">
        <f t="shared" si="173"/>
        <v>1.00000021746516</v>
      </c>
      <c r="V190" s="4">
        <f t="shared" si="174"/>
        <v>0.000659492409056842</v>
      </c>
      <c r="W190" t="str">
        <f t="shared" si="162"/>
        <v>1-0,0577055941584432i</v>
      </c>
      <c r="X190" s="4">
        <f t="shared" si="175"/>
        <v>1.00166358404266</v>
      </c>
      <c r="Y190" s="4">
        <f t="shared" si="176"/>
        <v>-0.0576416698574891</v>
      </c>
      <c r="Z190" t="str">
        <f t="shared" si="163"/>
        <v>0,999998041437366+0,0030619294859582i</v>
      </c>
      <c r="AA190" s="4">
        <f t="shared" si="177"/>
        <v>1.00000272914165</v>
      </c>
      <c r="AB190" s="4">
        <f t="shared" si="178"/>
        <v>0.0030619259139979</v>
      </c>
      <c r="AC190" s="67" t="str">
        <f t="shared" si="179"/>
        <v>7,34069252502568-7,96159934596504i</v>
      </c>
      <c r="AD190" s="68">
        <f t="shared" si="180"/>
        <v>20.6919740887505</v>
      </c>
      <c r="AE190" s="31">
        <f t="shared" si="181"/>
        <v>-47.3235627658674</v>
      </c>
      <c r="AF190" s="32" t="str">
        <f t="shared" si="182"/>
        <v>75,4669735059805</v>
      </c>
      <c r="AG190" s="32" t="str">
        <f t="shared" si="164"/>
        <v>1+0,618274223126177i</v>
      </c>
      <c r="AH190" s="32">
        <f t="shared" si="183"/>
        <v>1.17569682103095</v>
      </c>
      <c r="AI190" s="32">
        <f t="shared" si="184"/>
        <v>0.553748175448857</v>
      </c>
      <c r="AJ190" s="32" t="str">
        <f t="shared" si="165"/>
        <v>1+0,000659492504667922i</v>
      </c>
      <c r="AK190" s="32">
        <f t="shared" si="185"/>
        <v>1.00000021746516</v>
      </c>
      <c r="AL190" s="32">
        <f t="shared" si="186"/>
        <v>0.000659492409056842</v>
      </c>
      <c r="AM190" s="32" t="str">
        <f t="shared" si="166"/>
        <v>1-0,00737335035544535i</v>
      </c>
      <c r="AN190" s="32">
        <f t="shared" si="187"/>
        <v>1.00002718277828</v>
      </c>
      <c r="AO190" s="32">
        <f t="shared" si="188"/>
        <v>-0.00737321673922253</v>
      </c>
      <c r="AP190" s="30" t="str">
        <f t="shared" si="189"/>
        <v>54,3703158221956-34,1224393086404i</v>
      </c>
      <c r="AQ190" s="32">
        <f t="shared" si="190"/>
        <v>36.1494697858378</v>
      </c>
      <c r="AR190" s="31">
        <f t="shared" si="191"/>
        <v>-32.1121014352221</v>
      </c>
      <c r="AS190" t="str">
        <f t="shared" si="167"/>
        <v>-0,000338461538461538</v>
      </c>
      <c r="AT190" t="str">
        <f t="shared" si="168"/>
        <v>0,000577234004560691i</v>
      </c>
      <c r="AU190">
        <f t="shared" si="192"/>
        <v>0.000577234004560691</v>
      </c>
      <c r="AV190">
        <f t="shared" si="193"/>
        <v>1.5707963267949</v>
      </c>
      <c r="AW190" t="str">
        <f t="shared" si="169"/>
        <v>1+0,0936829420286141i</v>
      </c>
      <c r="AX190">
        <f t="shared" si="194"/>
        <v>1.00437866047977</v>
      </c>
      <c r="AY190">
        <f t="shared" si="195"/>
        <v>0.0934103070148047</v>
      </c>
      <c r="AZ190" t="str">
        <f t="shared" si="170"/>
        <v>1+0,817770705788223i</v>
      </c>
      <c r="BA190">
        <f t="shared" si="196"/>
        <v>1.29180065305966</v>
      </c>
      <c r="BB190">
        <f t="shared" si="197"/>
        <v>0.685483200889118</v>
      </c>
      <c r="BC190" s="30" t="str">
        <f t="shared" si="198"/>
        <v>-0,420875525447834+0,625779515568557i</v>
      </c>
      <c r="BD190" s="32">
        <f t="shared" si="199"/>
        <v>-2.45089120413299</v>
      </c>
      <c r="BE190" s="31">
        <f t="shared" si="200"/>
        <v>123.923277983095</v>
      </c>
      <c r="BF190" s="30" t="str">
        <f t="shared" si="201"/>
        <v>1,89268795824777+7,94449732038647i</v>
      </c>
      <c r="BG190" s="68">
        <f t="shared" si="202"/>
        <v>18.2410828846175</v>
      </c>
      <c r="BH190" s="31">
        <f t="shared" si="203"/>
        <v>76.599715217228</v>
      </c>
      <c r="BI190" s="30" t="str">
        <f t="shared" si="209"/>
        <v>-1,53001169985278+48,3851294701089i</v>
      </c>
      <c r="BJ190" s="68">
        <f t="shared" si="204"/>
        <v>33.6985785817048</v>
      </c>
      <c r="BK190" s="31">
        <f t="shared" si="210"/>
        <v>91.8111765478732</v>
      </c>
      <c r="BL190" s="32">
        <f t="shared" si="205"/>
        <v>18.2410828846175</v>
      </c>
      <c r="BM190" s="31">
        <f t="shared" si="206"/>
        <v>76.599715217228</v>
      </c>
      <c r="BO190">
        <f t="shared" si="207"/>
        <v>0</v>
      </c>
      <c r="BP190">
        <f t="shared" si="208"/>
        <v>0</v>
      </c>
    </row>
    <row r="191" spans="14:68">
      <c r="N191" s="7">
        <v>73</v>
      </c>
      <c r="O191" s="18">
        <f t="shared" si="211"/>
        <v>537.031796370253</v>
      </c>
      <c r="P191" s="86" t="str">
        <f t="shared" si="159"/>
        <v>15</v>
      </c>
      <c r="Q191" s="4" t="str">
        <f t="shared" si="160"/>
        <v>1+0,984162168628867i</v>
      </c>
      <c r="R191" s="4">
        <f t="shared" si="171"/>
        <v>1.4030592197624</v>
      </c>
      <c r="S191" s="4">
        <f t="shared" si="172"/>
        <v>0.77741620745211</v>
      </c>
      <c r="T191" s="4" t="str">
        <f t="shared" si="161"/>
        <v>1+0,000674854058488366i</v>
      </c>
      <c r="U191" s="4">
        <f t="shared" si="173"/>
        <v>1.00000022771397</v>
      </c>
      <c r="V191" s="4">
        <f t="shared" si="174"/>
        <v>0.000674853956039249</v>
      </c>
      <c r="W191" t="str">
        <f t="shared" si="162"/>
        <v>1-0,0590497301177321i</v>
      </c>
      <c r="X191" s="4">
        <f t="shared" si="175"/>
        <v>1.00174191817403</v>
      </c>
      <c r="Y191" s="4">
        <f t="shared" si="176"/>
        <v>-0.0589812404263894</v>
      </c>
      <c r="Z191" t="str">
        <f t="shared" si="163"/>
        <v>0,999997949133153+0,00313325098583883i</v>
      </c>
      <c r="AA191" s="4">
        <f t="shared" si="177"/>
        <v>1.00000285776204</v>
      </c>
      <c r="AB191" s="4">
        <f t="shared" si="178"/>
        <v>0.00313324715841488</v>
      </c>
      <c r="AC191" s="67" t="str">
        <f t="shared" si="179"/>
        <v>7,1573254814778-7,96658567697648i</v>
      </c>
      <c r="AD191" s="68">
        <f t="shared" si="180"/>
        <v>20.5953992445765</v>
      </c>
      <c r="AE191" s="31">
        <f t="shared" si="181"/>
        <v>-48.0628993138311</v>
      </c>
      <c r="AF191" s="32" t="str">
        <f t="shared" si="182"/>
        <v>75,4669735059805</v>
      </c>
      <c r="AG191" s="32" t="str">
        <f t="shared" si="164"/>
        <v>1+0,632675679832844i</v>
      </c>
      <c r="AH191" s="32">
        <f t="shared" si="183"/>
        <v>1.18333364519562</v>
      </c>
      <c r="AI191" s="32">
        <f t="shared" si="184"/>
        <v>0.564099874150095</v>
      </c>
      <c r="AJ191" s="32" t="str">
        <f t="shared" si="165"/>
        <v>1+0,000674854058488366i</v>
      </c>
      <c r="AK191" s="32">
        <f t="shared" si="185"/>
        <v>1.00000022771397</v>
      </c>
      <c r="AL191" s="32">
        <f t="shared" si="186"/>
        <v>0.000674853956039249</v>
      </c>
      <c r="AM191" s="32" t="str">
        <f t="shared" si="166"/>
        <v>1-0,00754509774835802i</v>
      </c>
      <c r="AN191" s="32">
        <f t="shared" si="187"/>
        <v>1.00002846384492</v>
      </c>
      <c r="AO191" s="32">
        <f t="shared" si="188"/>
        <v>-0.00754495457621586</v>
      </c>
      <c r="AP191" s="30" t="str">
        <f t="shared" si="189"/>
        <v>53,66027504523-34,4680274927813i</v>
      </c>
      <c r="AQ191" s="32">
        <f t="shared" si="190"/>
        <v>36.0932436241076</v>
      </c>
      <c r="AR191" s="31">
        <f t="shared" si="191"/>
        <v>-32.7141697830276</v>
      </c>
      <c r="AS191" t="str">
        <f t="shared" si="167"/>
        <v>-0,000338461538461538</v>
      </c>
      <c r="AT191" t="str">
        <f t="shared" si="168"/>
        <v>0,000590679511773113i</v>
      </c>
      <c r="AU191">
        <f t="shared" si="192"/>
        <v>0.000590679511773113</v>
      </c>
      <c r="AV191">
        <f t="shared" si="193"/>
        <v>1.5707963267949</v>
      </c>
      <c r="AW191" t="str">
        <f t="shared" si="169"/>
        <v>1+0,0958650980741248i</v>
      </c>
      <c r="AX191">
        <f t="shared" si="194"/>
        <v>1.00458454946747</v>
      </c>
      <c r="AY191">
        <f t="shared" si="195"/>
        <v>0.0955730363493373</v>
      </c>
      <c r="AZ191" t="str">
        <f t="shared" si="170"/>
        <v>1+0,836819032525574i</v>
      </c>
      <c r="BA191">
        <f t="shared" si="196"/>
        <v>1.30394251913075</v>
      </c>
      <c r="BB191">
        <f t="shared" si="197"/>
        <v>0.696791886794294</v>
      </c>
      <c r="BC191" s="30" t="str">
        <f t="shared" si="198"/>
        <v>-0,420703026764426+0,613334424564491i</v>
      </c>
      <c r="BD191" s="32">
        <f t="shared" si="199"/>
        <v>-2.57141260775942</v>
      </c>
      <c r="BE191" s="31">
        <f t="shared" si="200"/>
        <v>124.447302694203</v>
      </c>
      <c r="BF191" s="30" t="str">
        <f t="shared" si="201"/>
        <v>1,87507274833622+7,74140081288508i</v>
      </c>
      <c r="BG191" s="68">
        <f t="shared" si="202"/>
        <v>18.0239866368171</v>
      </c>
      <c r="BH191" s="31">
        <f t="shared" si="203"/>
        <v>76.3844033803721</v>
      </c>
      <c r="BI191" s="30" t="str">
        <f t="shared" si="209"/>
        <v>-1,43461232038178+47,412497409651i</v>
      </c>
      <c r="BJ191" s="68">
        <f t="shared" si="204"/>
        <v>33.5218310163482</v>
      </c>
      <c r="BK191" s="31">
        <f t="shared" si="210"/>
        <v>91.7331329111755</v>
      </c>
      <c r="BL191" s="32">
        <f t="shared" si="205"/>
        <v>18.0239866368171</v>
      </c>
      <c r="BM191" s="31">
        <f t="shared" si="206"/>
        <v>76.3844033803721</v>
      </c>
      <c r="BO191">
        <f t="shared" si="207"/>
        <v>0</v>
      </c>
      <c r="BP191">
        <f t="shared" si="208"/>
        <v>0</v>
      </c>
    </row>
    <row r="192" spans="14:68">
      <c r="N192" s="7">
        <v>74</v>
      </c>
      <c r="O192" s="18">
        <f t="shared" si="211"/>
        <v>549.540873857625</v>
      </c>
      <c r="P192" s="86" t="str">
        <f t="shared" si="159"/>
        <v>15</v>
      </c>
      <c r="Q192" s="4" t="str">
        <f t="shared" si="160"/>
        <v>1+1,00708625042575i</v>
      </c>
      <c r="R192" s="4">
        <f t="shared" si="171"/>
        <v>1.41923314356613</v>
      </c>
      <c r="S192" s="4">
        <f t="shared" si="172"/>
        <v>0.788928764526578</v>
      </c>
      <c r="T192" s="4" t="str">
        <f t="shared" si="161"/>
        <v>1+0,000690573428863372i</v>
      </c>
      <c r="U192" s="4">
        <f t="shared" si="173"/>
        <v>1.0000002384458</v>
      </c>
      <c r="V192" s="4">
        <f t="shared" si="174"/>
        <v>0.000690573319087167</v>
      </c>
      <c r="W192" t="str">
        <f t="shared" si="162"/>
        <v>1-0,0604251750255451i</v>
      </c>
      <c r="X192" s="4">
        <f t="shared" si="175"/>
        <v>1.00182393751441</v>
      </c>
      <c r="Y192" s="4">
        <f t="shared" si="176"/>
        <v>-0.0603517942133402</v>
      </c>
      <c r="Z192" t="str">
        <f t="shared" si="163"/>
        <v>0,999997852478777+0,00320623377686565i</v>
      </c>
      <c r="AA192" s="4">
        <f t="shared" si="177"/>
        <v>1.00000299244412</v>
      </c>
      <c r="AB192" s="4">
        <f t="shared" si="178"/>
        <v>0.00320622967570753</v>
      </c>
      <c r="AC192" s="67" t="str">
        <f t="shared" si="179"/>
        <v>6,97382362388492-7,96734884735583i</v>
      </c>
      <c r="AD192" s="68">
        <f t="shared" si="180"/>
        <v>20.4965544548292</v>
      </c>
      <c r="AE192" s="31">
        <f t="shared" si="181"/>
        <v>-48.8043281302493</v>
      </c>
      <c r="AF192" s="32" t="str">
        <f t="shared" si="182"/>
        <v>75,4669735059805</v>
      </c>
      <c r="AG192" s="32" t="str">
        <f t="shared" si="164"/>
        <v>1+0,647412589559412i</v>
      </c>
      <c r="AH192" s="32">
        <f t="shared" si="183"/>
        <v>1.1912779109511</v>
      </c>
      <c r="AI192" s="32">
        <f t="shared" si="184"/>
        <v>0.574554151849979</v>
      </c>
      <c r="AJ192" s="32" t="str">
        <f t="shared" si="165"/>
        <v>1+0,000690573428863372i</v>
      </c>
      <c r="AK192" s="32">
        <f t="shared" si="185"/>
        <v>1.0000002384458</v>
      </c>
      <c r="AL192" s="32">
        <f t="shared" si="186"/>
        <v>0.000690573319087167</v>
      </c>
      <c r="AM192" s="32" t="str">
        <f t="shared" si="166"/>
        <v>1-0,00772084565196807i</v>
      </c>
      <c r="AN192" s="32">
        <f t="shared" si="187"/>
        <v>1.00002980528461</v>
      </c>
      <c r="AO192" s="32">
        <f t="shared" si="188"/>
        <v>-0.00772069224050072</v>
      </c>
      <c r="AP192" s="30" t="str">
        <f t="shared" si="189"/>
        <v>52,9360929212461-34,8020463669024i</v>
      </c>
      <c r="AQ192" s="32">
        <f t="shared" si="190"/>
        <v>36.0351378437446</v>
      </c>
      <c r="AR192" s="31">
        <f t="shared" si="191"/>
        <v>-33.3223241463944</v>
      </c>
      <c r="AS192" t="str">
        <f t="shared" si="167"/>
        <v>-0,000338461538461538</v>
      </c>
      <c r="AT192" t="str">
        <f t="shared" si="168"/>
        <v>0,000604438205081244i</v>
      </c>
      <c r="AU192">
        <f t="shared" si="192"/>
        <v>0.000604438205081244</v>
      </c>
      <c r="AV192">
        <f t="shared" si="193"/>
        <v>1.5707963267949</v>
      </c>
      <c r="AW192" t="str">
        <f t="shared" si="169"/>
        <v>1+0,0980980830635592i</v>
      </c>
      <c r="AX192">
        <f t="shared" si="194"/>
        <v>1.00480009648723</v>
      </c>
      <c r="AY192">
        <f t="shared" si="195"/>
        <v>0.0977852139744433</v>
      </c>
      <c r="AZ192" t="str">
        <f t="shared" si="170"/>
        <v>1+0,856311051790581i</v>
      </c>
      <c r="BA192">
        <f t="shared" si="196"/>
        <v>1.31653659934644</v>
      </c>
      <c r="BB192">
        <f t="shared" si="197"/>
        <v>0.708146563678901</v>
      </c>
      <c r="BC192" s="30" t="str">
        <f t="shared" si="198"/>
        <v>-0,420522549955981+0,601212987345983i</v>
      </c>
      <c r="BD192" s="32">
        <f t="shared" si="199"/>
        <v>-2.68978628569501</v>
      </c>
      <c r="BE192" s="31">
        <f t="shared" si="200"/>
        <v>124.971129315974</v>
      </c>
      <c r="BF192" s="30" t="str">
        <f t="shared" si="201"/>
        <v>1,85742350848703+7,54320318781876i</v>
      </c>
      <c r="BG192" s="68">
        <f t="shared" si="202"/>
        <v>17.8067681691342</v>
      </c>
      <c r="BH192" s="31">
        <f t="shared" si="203"/>
        <v>76.1668011857246</v>
      </c>
      <c r="BI192" s="30" t="str">
        <f t="shared" si="209"/>
        <v>-1,33737851795036+46,460911845503i</v>
      </c>
      <c r="BJ192" s="68">
        <f t="shared" si="204"/>
        <v>33.3453515580496</v>
      </c>
      <c r="BK192" s="31">
        <f t="shared" si="210"/>
        <v>91.6488051695795</v>
      </c>
      <c r="BL192" s="32">
        <f t="shared" si="205"/>
        <v>17.8067681691342</v>
      </c>
      <c r="BM192" s="31">
        <f t="shared" si="206"/>
        <v>76.1668011857246</v>
      </c>
      <c r="BO192">
        <f t="shared" si="207"/>
        <v>0</v>
      </c>
      <c r="BP192">
        <f t="shared" si="208"/>
        <v>0</v>
      </c>
    </row>
    <row r="193" spans="14:68">
      <c r="N193" s="7">
        <v>75</v>
      </c>
      <c r="O193" s="18">
        <f t="shared" si="211"/>
        <v>562.341325190349</v>
      </c>
      <c r="P193" s="86" t="str">
        <f t="shared" si="159"/>
        <v>15</v>
      </c>
      <c r="Q193" s="4" t="str">
        <f t="shared" si="160"/>
        <v>1+1,03054430268297i</v>
      </c>
      <c r="R193" s="4">
        <f t="shared" si="171"/>
        <v>1.43597408047371</v>
      </c>
      <c r="S193" s="4">
        <f t="shared" si="172"/>
        <v>0.800439450187918</v>
      </c>
      <c r="T193" s="4" t="str">
        <f t="shared" si="161"/>
        <v>1+0,00070665895041118i</v>
      </c>
      <c r="U193" s="4">
        <f t="shared" si="173"/>
        <v>1.00000024968341</v>
      </c>
      <c r="V193" s="4">
        <f t="shared" si="174"/>
        <v>0.000706658832783859</v>
      </c>
      <c r="W193" t="str">
        <f t="shared" si="162"/>
        <v>1-0,0618326581609783i</v>
      </c>
      <c r="X193" s="4">
        <f t="shared" si="175"/>
        <v>1.00190981511075</v>
      </c>
      <c r="Y193" s="4">
        <f t="shared" si="176"/>
        <v>-0.061754037296682</v>
      </c>
      <c r="Z193" t="str">
        <f t="shared" si="163"/>
        <v>0,999997751269219+0,00328091655548047i</v>
      </c>
      <c r="AA193" s="4">
        <f t="shared" si="177"/>
        <v>1.00000313347356</v>
      </c>
      <c r="AB193" s="4">
        <f t="shared" si="178"/>
        <v>0.00328091216101096</v>
      </c>
      <c r="AC193" s="67" t="str">
        <f t="shared" si="179"/>
        <v>6,79038142859452-7,96388666481632i</v>
      </c>
      <c r="AD193" s="68">
        <f t="shared" si="180"/>
        <v>20.3954407378052</v>
      </c>
      <c r="AE193" s="31">
        <f t="shared" si="181"/>
        <v>-49.5475418076382</v>
      </c>
      <c r="AF193" s="32" t="str">
        <f t="shared" si="182"/>
        <v>75,4669735059805</v>
      </c>
      <c r="AG193" s="32" t="str">
        <f t="shared" si="164"/>
        <v>1+0,662492766010482i</v>
      </c>
      <c r="AH193" s="32">
        <f t="shared" si="183"/>
        <v>1.19954018899586</v>
      </c>
      <c r="AI193" s="32">
        <f t="shared" si="184"/>
        <v>0.585107410745279</v>
      </c>
      <c r="AJ193" s="32" t="str">
        <f t="shared" si="165"/>
        <v>1+0,00070665895041118i</v>
      </c>
      <c r="AK193" s="32">
        <f t="shared" si="185"/>
        <v>1.00000024968341</v>
      </c>
      <c r="AL193" s="32">
        <f t="shared" si="186"/>
        <v>0.000706658832783859</v>
      </c>
      <c r="AM193" s="32" t="str">
        <f t="shared" si="166"/>
        <v>1-0,00790068725014026i</v>
      </c>
      <c r="AN193" s="32">
        <f t="shared" si="187"/>
        <v>1.00003120994248</v>
      </c>
      <c r="AO193" s="32">
        <f t="shared" si="188"/>
        <v>-0.00790052286706843</v>
      </c>
      <c r="AP193" s="30" t="str">
        <f t="shared" si="189"/>
        <v>52,1981332650154-35,1237972304208i</v>
      </c>
      <c r="AQ193" s="32">
        <f t="shared" si="190"/>
        <v>35.9751158622446</v>
      </c>
      <c r="AR193" s="31">
        <f t="shared" si="191"/>
        <v>-33.9363632450875</v>
      </c>
      <c r="AS193" t="str">
        <f t="shared" si="167"/>
        <v>-0,000338461538461538</v>
      </c>
      <c r="AT193" t="str">
        <f t="shared" si="168"/>
        <v>0,000618517379526394i</v>
      </c>
      <c r="AU193">
        <f t="shared" si="192"/>
        <v>0.000618517379526394</v>
      </c>
      <c r="AV193">
        <f t="shared" si="193"/>
        <v>1.5707963267949</v>
      </c>
      <c r="AW193" t="str">
        <f t="shared" si="169"/>
        <v>1+0,100383080955115i</v>
      </c>
      <c r="AX193">
        <f t="shared" si="194"/>
        <v>1.00502575237754</v>
      </c>
      <c r="AY193">
        <f t="shared" si="195"/>
        <v>0.100047926161949</v>
      </c>
      <c r="AZ193" t="str">
        <f t="shared" si="170"/>
        <v>1+0,876257098509863i</v>
      </c>
      <c r="BA193">
        <f t="shared" si="196"/>
        <v>1.32959636833474</v>
      </c>
      <c r="BB193">
        <f t="shared" si="197"/>
        <v>0.719541541217131</v>
      </c>
      <c r="BC193" s="30" t="str">
        <f t="shared" si="198"/>
        <v>-0,420333733426463+0,589408668653331i</v>
      </c>
      <c r="BD193" s="32">
        <f t="shared" si="199"/>
        <v>-2.80599905882492</v>
      </c>
      <c r="BE193" s="31">
        <f t="shared" si="200"/>
        <v>125.494369577964</v>
      </c>
      <c r="BF193" s="30" t="str">
        <f t="shared" si="201"/>
        <v>1,83975745914455+7,34979989188367i</v>
      </c>
      <c r="BG193" s="68">
        <f t="shared" si="202"/>
        <v>17.5894416789803</v>
      </c>
      <c r="BH193" s="31">
        <f t="shared" si="203"/>
        <v>75.946827770326</v>
      </c>
      <c r="BI193" s="30" t="str">
        <f t="shared" si="209"/>
        <v>-1,2383656695441+45,5297490558987i</v>
      </c>
      <c r="BJ193" s="68">
        <f t="shared" si="204"/>
        <v>33.1691168034197</v>
      </c>
      <c r="BK193" s="31">
        <f t="shared" si="210"/>
        <v>91.5580063328766</v>
      </c>
      <c r="BL193" s="32">
        <f t="shared" si="205"/>
        <v>17.5894416789803</v>
      </c>
      <c r="BM193" s="31">
        <f t="shared" si="206"/>
        <v>75.946827770326</v>
      </c>
      <c r="BO193">
        <f t="shared" si="207"/>
        <v>0</v>
      </c>
      <c r="BP193">
        <f t="shared" si="208"/>
        <v>0</v>
      </c>
    </row>
    <row r="194" spans="14:68">
      <c r="N194" s="7">
        <v>76</v>
      </c>
      <c r="O194" s="18">
        <f t="shared" si="211"/>
        <v>575.439937337157</v>
      </c>
      <c r="P194" s="86" t="str">
        <f t="shared" si="159"/>
        <v>15</v>
      </c>
      <c r="Q194" s="4" t="str">
        <f t="shared" si="160"/>
        <v>1+1,05454876317034i</v>
      </c>
      <c r="R194" s="4">
        <f t="shared" si="171"/>
        <v>1.45329731779292</v>
      </c>
      <c r="S194" s="4">
        <f t="shared" si="172"/>
        <v>0.81194216768097</v>
      </c>
      <c r="T194" s="4" t="str">
        <f t="shared" si="161"/>
        <v>1+0,000723119151888234i</v>
      </c>
      <c r="U194" s="4">
        <f t="shared" si="173"/>
        <v>1.00000026145062</v>
      </c>
      <c r="V194" s="4">
        <f t="shared" si="174"/>
        <v>0.00072311902584829</v>
      </c>
      <c r="W194" t="str">
        <f t="shared" si="162"/>
        <v>1-0,0632729257902205i</v>
      </c>
      <c r="X194" s="4">
        <f t="shared" si="175"/>
        <v>1.00199973210478</v>
      </c>
      <c r="Y194" s="4">
        <f t="shared" si="176"/>
        <v>-0.0631886910941196</v>
      </c>
      <c r="Z194" t="str">
        <f t="shared" si="163"/>
        <v>0,999997645289803+0,00335733891948108i</v>
      </c>
      <c r="AA194" s="4">
        <f t="shared" si="177"/>
        <v>1.0000032811495</v>
      </c>
      <c r="AB194" s="4">
        <f t="shared" si="178"/>
        <v>0.00335733421072283</v>
      </c>
      <c r="AC194" s="67" t="str">
        <f t="shared" si="179"/>
        <v>6,60719311927927-7,95620812269457i</v>
      </c>
      <c r="AD194" s="68">
        <f t="shared" si="180"/>
        <v>20.2920616203801</v>
      </c>
      <c r="AE194" s="31">
        <f t="shared" si="181"/>
        <v>-50.2922341418946</v>
      </c>
      <c r="AF194" s="32" t="str">
        <f t="shared" si="182"/>
        <v>75,4669735059805</v>
      </c>
      <c r="AG194" s="32" t="str">
        <f t="shared" si="164"/>
        <v>1+0,67792420489522i</v>
      </c>
      <c r="AH194" s="32">
        <f t="shared" si="183"/>
        <v>1.20813129567229</v>
      </c>
      <c r="AI194" s="32">
        <f t="shared" si="184"/>
        <v>0.595755843510117</v>
      </c>
      <c r="AJ194" s="32" t="str">
        <f t="shared" si="165"/>
        <v>1+0,000723119151888234i</v>
      </c>
      <c r="AK194" s="32">
        <f t="shared" si="185"/>
        <v>1.00000026145062</v>
      </c>
      <c r="AL194" s="32">
        <f t="shared" si="186"/>
        <v>0.00072311902584829</v>
      </c>
      <c r="AM194" s="32" t="str">
        <f t="shared" si="166"/>
        <v>1-0,00808471789727043i</v>
      </c>
      <c r="AN194" s="32">
        <f t="shared" si="187"/>
        <v>1.00003268079772</v>
      </c>
      <c r="AO194" s="32">
        <f t="shared" si="188"/>
        <v>-0.00808454175794639</v>
      </c>
      <c r="AP194" s="30" t="str">
        <f t="shared" si="189"/>
        <v>51,4468036132898-35,4325910114195i</v>
      </c>
      <c r="AQ194" s="32">
        <f t="shared" si="190"/>
        <v>35.9131421093823</v>
      </c>
      <c r="AR194" s="31">
        <f t="shared" si="191"/>
        <v>-34.5560739071469</v>
      </c>
      <c r="AS194" t="str">
        <f t="shared" si="167"/>
        <v>-0,000338461538461538</v>
      </c>
      <c r="AT194" t="str">
        <f t="shared" si="168"/>
        <v>0,000632924500073214i</v>
      </c>
      <c r="AU194">
        <f t="shared" si="192"/>
        <v>0.000632924500073214</v>
      </c>
      <c r="AV194">
        <f t="shared" si="193"/>
        <v>1.5707963267949</v>
      </c>
      <c r="AW194" t="str">
        <f t="shared" si="169"/>
        <v>1+0,102721303284921i</v>
      </c>
      <c r="AX194">
        <f t="shared" si="194"/>
        <v>1.00526198881115</v>
      </c>
      <c r="AY194">
        <f t="shared" si="195"/>
        <v>0.102362279902664</v>
      </c>
      <c r="AZ194" t="str">
        <f t="shared" si="170"/>
        <v>1+0,89666774834141i</v>
      </c>
      <c r="BA194">
        <f t="shared" si="196"/>
        <v>1.34313552961555</v>
      </c>
      <c r="BB194">
        <f t="shared" si="197"/>
        <v>0.730971025369169</v>
      </c>
      <c r="BC194" s="30" t="str">
        <f t="shared" si="198"/>
        <v>-0,420136199896515+0,577915093876505i</v>
      </c>
      <c r="BD194" s="32">
        <f t="shared" si="199"/>
        <v>-2.92004013508187</v>
      </c>
      <c r="BE194" s="31">
        <f t="shared" si="200"/>
        <v>126.016628080244</v>
      </c>
      <c r="BF194" s="30" t="str">
        <f t="shared" si="201"/>
        <v>1,82209175501165+7,16108767804316i</v>
      </c>
      <c r="BG194" s="68">
        <f t="shared" si="202"/>
        <v>17.3720214852982</v>
      </c>
      <c r="BH194" s="31">
        <f t="shared" si="203"/>
        <v>75.7243939383496</v>
      </c>
      <c r="BI194" s="30" t="str">
        <f t="shared" si="209"/>
        <v>-1,13763540625757+44,6183984798457i</v>
      </c>
      <c r="BJ194" s="68">
        <f t="shared" si="204"/>
        <v>32.9931019743004</v>
      </c>
      <c r="BK194" s="31">
        <f t="shared" si="210"/>
        <v>91.4605541730973</v>
      </c>
      <c r="BL194" s="32">
        <f t="shared" si="205"/>
        <v>17.3720214852982</v>
      </c>
      <c r="BM194" s="31">
        <f t="shared" si="206"/>
        <v>75.7243939383496</v>
      </c>
      <c r="BO194">
        <f t="shared" si="207"/>
        <v>0</v>
      </c>
      <c r="BP194">
        <f t="shared" si="208"/>
        <v>0</v>
      </c>
    </row>
    <row r="195" spans="14:68">
      <c r="N195" s="7">
        <v>77</v>
      </c>
      <c r="O195" s="18">
        <f t="shared" si="211"/>
        <v>588.84365535559</v>
      </c>
      <c r="P195" s="86" t="str">
        <f t="shared" si="159"/>
        <v>15</v>
      </c>
      <c r="Q195" s="4" t="str">
        <f t="shared" si="160"/>
        <v>1+1,07911235937055i</v>
      </c>
      <c r="R195" s="4">
        <f t="shared" si="171"/>
        <v>1.47121836725425</v>
      </c>
      <c r="S195" s="4">
        <f t="shared" si="172"/>
        <v>0.823430841332814</v>
      </c>
      <c r="T195" s="4" t="str">
        <f t="shared" si="161"/>
        <v>1+0,000739962760711232i</v>
      </c>
      <c r="U195" s="4">
        <f t="shared" si="173"/>
        <v>1.00000027377241</v>
      </c>
      <c r="V195" s="4">
        <f t="shared" si="174"/>
        <v>0.000739962625657001</v>
      </c>
      <c r="W195" t="str">
        <f t="shared" si="162"/>
        <v>1-0,0647467415622329i</v>
      </c>
      <c r="X195" s="4">
        <f t="shared" si="175"/>
        <v>1.0020938781087</v>
      </c>
      <c r="Y195" s="4">
        <f t="shared" si="176"/>
        <v>-0.0646564926419612</v>
      </c>
      <c r="Z195" t="str">
        <f t="shared" si="163"/>
        <v>0,99999753431573+0,00343554138901642i</v>
      </c>
      <c r="AA195" s="4">
        <f t="shared" si="177"/>
        <v>1.00000343578519</v>
      </c>
      <c r="AB195" s="4">
        <f t="shared" si="178"/>
        <v>0.0034355363434918</v>
      </c>
      <c r="AC195" s="67" t="str">
        <f t="shared" si="179"/>
        <v>6,42445184552102-7,94433334170952i</v>
      </c>
      <c r="AD195" s="68">
        <f t="shared" si="180"/>
        <v>20.1864231328379</v>
      </c>
      <c r="AE195" s="31">
        <f t="shared" si="181"/>
        <v>-51.0381010731783</v>
      </c>
      <c r="AF195" s="32" t="str">
        <f t="shared" si="182"/>
        <v>75,4669735059805</v>
      </c>
      <c r="AG195" s="32" t="str">
        <f t="shared" si="164"/>
        <v>1+0,69371508816678i</v>
      </c>
      <c r="AH195" s="32">
        <f t="shared" si="183"/>
        <v>1.21706229238698</v>
      </c>
      <c r="AI195" s="32">
        <f t="shared" si="184"/>
        <v>0.60649543668164</v>
      </c>
      <c r="AJ195" s="32" t="str">
        <f t="shared" si="165"/>
        <v>1+0,000739962760711232i</v>
      </c>
      <c r="AK195" s="32">
        <f t="shared" si="185"/>
        <v>1.00000027377241</v>
      </c>
      <c r="AL195" s="32">
        <f t="shared" si="186"/>
        <v>0.000739962625657001</v>
      </c>
      <c r="AM195" s="32" t="str">
        <f t="shared" si="166"/>
        <v>1-0,00827303516884363i</v>
      </c>
      <c r="AN195" s="32">
        <f t="shared" si="187"/>
        <v>1.00003422096992</v>
      </c>
      <c r="AO195" s="32">
        <f t="shared" si="188"/>
        <v>-0.00827284643250633</v>
      </c>
      <c r="AP195" s="30" t="str">
        <f t="shared" si="189"/>
        <v>50,6825552440647-35,7277514554972i</v>
      </c>
      <c r="AQ195" s="32">
        <f t="shared" si="190"/>
        <v>35.8491821419757</v>
      </c>
      <c r="AR195" s="31">
        <f t="shared" si="191"/>
        <v>-35.1812312654967</v>
      </c>
      <c r="AS195" t="str">
        <f t="shared" si="167"/>
        <v>-0,000338461538461538</v>
      </c>
      <c r="AT195" t="str">
        <f t="shared" si="168"/>
        <v>0,00064766720556772i</v>
      </c>
      <c r="AU195">
        <f t="shared" si="192"/>
        <v>0.00064766720556772</v>
      </c>
      <c r="AV195">
        <f t="shared" si="193"/>
        <v>1.5707963267949</v>
      </c>
      <c r="AW195" t="str">
        <f t="shared" si="169"/>
        <v>1+0,105113989809406i</v>
      </c>
      <c r="AX195">
        <f t="shared" si="194"/>
        <v>1.00550929923778</v>
      </c>
      <c r="AY195">
        <f t="shared" si="195"/>
        <v>0.104729403073513</v>
      </c>
      <c r="AZ195" t="str">
        <f t="shared" si="170"/>
        <v>1+0,917553823281927i</v>
      </c>
      <c r="BA195">
        <f t="shared" si="196"/>
        <v>1.35716801414537</v>
      </c>
      <c r="BB195">
        <f t="shared" si="197"/>
        <v>0.742429132587485</v>
      </c>
      <c r="BC195" s="30" t="str">
        <f t="shared" si="198"/>
        <v>-0,419929555790816+0,56672604516997i</v>
      </c>
      <c r="BD195" s="32">
        <f t="shared" si="199"/>
        <v>-3.03190117779492</v>
      </c>
      <c r="BE195" s="31">
        <f t="shared" si="200"/>
        <v>126.537503097785</v>
      </c>
      <c r="BF195" s="30" t="str">
        <f t="shared" si="201"/>
        <v>1,80444340656984+6,97696455803529i</v>
      </c>
      <c r="BG195" s="68">
        <f t="shared" si="202"/>
        <v>17.154521955043</v>
      </c>
      <c r="BH195" s="31">
        <f t="shared" si="203"/>
        <v>75.4994020246066</v>
      </c>
      <c r="BI195" s="30" t="str">
        <f t="shared" si="209"/>
        <v>-1,03525562479401+43,7262628906889i</v>
      </c>
      <c r="BJ195" s="68">
        <f t="shared" si="204"/>
        <v>32.8172809641808</v>
      </c>
      <c r="BK195" s="31">
        <f t="shared" si="210"/>
        <v>91.3562718322881</v>
      </c>
      <c r="BL195" s="32">
        <f t="shared" si="205"/>
        <v>17.154521955043</v>
      </c>
      <c r="BM195" s="31">
        <f t="shared" si="206"/>
        <v>75.4994020246066</v>
      </c>
      <c r="BO195">
        <f t="shared" si="207"/>
        <v>0</v>
      </c>
      <c r="BP195">
        <f t="shared" si="208"/>
        <v>0</v>
      </c>
    </row>
    <row r="196" spans="14:68">
      <c r="N196" s="7">
        <v>78</v>
      </c>
      <c r="O196" s="18">
        <f t="shared" si="211"/>
        <v>602.559586074358</v>
      </c>
      <c r="P196" s="86" t="str">
        <f t="shared" si="159"/>
        <v>15</v>
      </c>
      <c r="Q196" s="4" t="str">
        <f t="shared" si="160"/>
        <v>1+1,10424811522743i</v>
      </c>
      <c r="R196" s="4">
        <f t="shared" si="171"/>
        <v>1.48975296609315</v>
      </c>
      <c r="S196" s="4">
        <f t="shared" si="172"/>
        <v>0.834899432542629</v>
      </c>
      <c r="T196" s="4" t="str">
        <f t="shared" si="161"/>
        <v>1+0,000757198707584524i</v>
      </c>
      <c r="U196" s="4">
        <f t="shared" si="173"/>
        <v>1.0000002866749</v>
      </c>
      <c r="V196" s="4">
        <f t="shared" si="174"/>
        <v>0.00075719856287131</v>
      </c>
      <c r="W196" t="str">
        <f t="shared" si="162"/>
        <v>1-0,0662548869136459i</v>
      </c>
      <c r="X196" s="4">
        <f t="shared" si="175"/>
        <v>1.00219245159797</v>
      </c>
      <c r="Y196" s="4">
        <f t="shared" si="176"/>
        <v>-0.0661581948754152</v>
      </c>
      <c r="Z196" t="str">
        <f t="shared" si="163"/>
        <v>0,99999741811161+0,00351556542807099i</v>
      </c>
      <c r="AA196" s="4">
        <f t="shared" si="177"/>
        <v>1.00000359770861</v>
      </c>
      <c r="AB196" s="4">
        <f t="shared" si="178"/>
        <v>0.0035155600216948</v>
      </c>
      <c r="AC196" s="67" t="str">
        <f t="shared" si="179"/>
        <v>6,24234887103526-7,92829344022037i</v>
      </c>
      <c r="AD196" s="68">
        <f t="shared" si="180"/>
        <v>20.0785337935865</v>
      </c>
      <c r="AE196" s="31">
        <f t="shared" si="181"/>
        <v>-51.7848416190874</v>
      </c>
      <c r="AF196" s="32" t="str">
        <f t="shared" si="182"/>
        <v>75,4669735059805</v>
      </c>
      <c r="AG196" s="32" t="str">
        <f t="shared" si="164"/>
        <v>1+0,709873788360492i</v>
      </c>
      <c r="AH196" s="32">
        <f t="shared" si="183"/>
        <v>1.22634448480077</v>
      </c>
      <c r="AI196" s="32">
        <f t="shared" si="184"/>
        <v>0.61732197501797</v>
      </c>
      <c r="AJ196" s="32" t="str">
        <f t="shared" si="165"/>
        <v>1+0,000757198707584524i</v>
      </c>
      <c r="AK196" s="32">
        <f t="shared" si="185"/>
        <v>1.0000002866749</v>
      </c>
      <c r="AL196" s="32">
        <f t="shared" si="186"/>
        <v>0.00075719856287131</v>
      </c>
      <c r="AM196" s="32" t="str">
        <f t="shared" si="166"/>
        <v>1-0,0084657389131699i</v>
      </c>
      <c r="AN196" s="32">
        <f t="shared" si="187"/>
        <v>1.00003583372564</v>
      </c>
      <c r="AO196" s="32">
        <f t="shared" si="188"/>
        <v>-0.00846553667893226</v>
      </c>
      <c r="AP196" s="30" t="str">
        <f t="shared" si="189"/>
        <v>49,9058829282472-36,0086183752147i</v>
      </c>
      <c r="AQ196" s="32">
        <f t="shared" si="190"/>
        <v>35.7832027583562</v>
      </c>
      <c r="AR196" s="31">
        <f t="shared" si="191"/>
        <v>-35.8115990103202</v>
      </c>
      <c r="AS196" t="str">
        <f t="shared" si="167"/>
        <v>-0,000338461538461538</v>
      </c>
      <c r="AT196" t="str">
        <f t="shared" si="168"/>
        <v>0,000662753312787507i</v>
      </c>
      <c r="AU196">
        <f t="shared" si="192"/>
        <v>0.000662753312787507</v>
      </c>
      <c r="AV196">
        <f t="shared" si="193"/>
        <v>1.5707963267949</v>
      </c>
      <c r="AW196" t="str">
        <f t="shared" si="169"/>
        <v>1+0,107562409162636i</v>
      </c>
      <c r="AX196">
        <f t="shared" si="194"/>
        <v>1.00576819986758</v>
      </c>
      <c r="AY196">
        <f t="shared" si="195"/>
        <v>0.107150444587469</v>
      </c>
      <c r="AZ196" t="str">
        <f t="shared" si="170"/>
        <v>1+0,938926397404809i</v>
      </c>
      <c r="BA196">
        <f t="shared" si="196"/>
        <v>1.37170797903328</v>
      </c>
      <c r="BB196">
        <f t="shared" si="197"/>
        <v>0.75390990458356</v>
      </c>
      <c r="BC196" s="30" t="str">
        <f t="shared" si="198"/>
        <v>-0,419713390608115+0,555835457618116i</v>
      </c>
      <c r="BD196" s="32">
        <f t="shared" si="199"/>
        <v>-3.14157636546473</v>
      </c>
      <c r="BE196" s="31">
        <f t="shared" si="200"/>
        <v>127.056587417936</v>
      </c>
      <c r="BF196" s="30" t="str">
        <f t="shared" si="201"/>
        <v>1,78682920245465+6,79732976287478i</v>
      </c>
      <c r="BG196" s="68">
        <f t="shared" si="202"/>
        <v>16.9369574281218</v>
      </c>
      <c r="BH196" s="31">
        <f t="shared" si="203"/>
        <v>75.2717457988488</v>
      </c>
      <c r="BI196" s="30" t="str">
        <f t="shared" si="209"/>
        <v>-0,93130046232271+42,8527585846334i</v>
      </c>
      <c r="BJ196" s="68">
        <f t="shared" si="204"/>
        <v>32.6416263928914</v>
      </c>
      <c r="BK196" s="31">
        <f t="shared" si="210"/>
        <v>91.244988407616</v>
      </c>
      <c r="BL196" s="32">
        <f t="shared" si="205"/>
        <v>16.9369574281218</v>
      </c>
      <c r="BM196" s="31">
        <f t="shared" si="206"/>
        <v>75.2717457988488</v>
      </c>
      <c r="BO196">
        <f t="shared" si="207"/>
        <v>0</v>
      </c>
      <c r="BP196">
        <f t="shared" si="208"/>
        <v>0</v>
      </c>
    </row>
    <row r="197" spans="14:68">
      <c r="N197" s="7">
        <v>79</v>
      </c>
      <c r="O197" s="18">
        <f t="shared" si="211"/>
        <v>616.595001861483</v>
      </c>
      <c r="P197" s="86" t="str">
        <f t="shared" si="159"/>
        <v>15</v>
      </c>
      <c r="Q197" s="4" t="str">
        <f t="shared" si="160"/>
        <v>1+1,12996935805146i</v>
      </c>
      <c r="R197" s="4">
        <f t="shared" si="171"/>
        <v>1.50891707861474</v>
      </c>
      <c r="S197" s="4">
        <f t="shared" si="172"/>
        <v>0.846341955533434</v>
      </c>
      <c r="T197" s="4" t="str">
        <f t="shared" si="161"/>
        <v>1+0,000774836131235288i</v>
      </c>
      <c r="U197" s="4">
        <f t="shared" si="173"/>
        <v>1.00000030018547</v>
      </c>
      <c r="V197" s="4">
        <f t="shared" si="174"/>
        <v>0.000774835976172288</v>
      </c>
      <c r="W197" t="str">
        <f t="shared" si="162"/>
        <v>1-0,0677981614830878i</v>
      </c>
      <c r="X197" s="4">
        <f t="shared" si="175"/>
        <v>1.00229566032209</v>
      </c>
      <c r="Y197" s="4">
        <f t="shared" si="176"/>
        <v>-0.0676945669096001</v>
      </c>
      <c r="Z197" t="str">
        <f t="shared" si="163"/>
        <v>0,999997296430959+0,00359745346644954i</v>
      </c>
      <c r="AA197" s="4">
        <f t="shared" si="177"/>
        <v>1.00000376726324</v>
      </c>
      <c r="AB197" s="4">
        <f t="shared" si="178"/>
        <v>0.00359744767341402</v>
      </c>
      <c r="AC197" s="67" t="str">
        <f t="shared" si="179"/>
        <v>6,06107277875685-7,90813033453559i</v>
      </c>
      <c r="AD197" s="68">
        <f t="shared" si="180"/>
        <v>19.9684045839305</v>
      </c>
      <c r="AE197" s="31">
        <f t="shared" si="181"/>
        <v>-52.5321587942569</v>
      </c>
      <c r="AF197" s="32" t="str">
        <f t="shared" si="182"/>
        <v>75,4669735059805</v>
      </c>
      <c r="AG197" s="32" t="str">
        <f t="shared" si="164"/>
        <v>1+0,726408873033083i</v>
      </c>
      <c r="AH197" s="32">
        <f t="shared" si="183"/>
        <v>1.23598942180797</v>
      </c>
      <c r="AI197" s="32">
        <f t="shared" si="184"/>
        <v>0.628231046842947</v>
      </c>
      <c r="AJ197" s="32" t="str">
        <f t="shared" si="165"/>
        <v>1+0,000774836131235288i</v>
      </c>
      <c r="AK197" s="32">
        <f t="shared" si="185"/>
        <v>1.00000030018547</v>
      </c>
      <c r="AL197" s="32">
        <f t="shared" si="186"/>
        <v>0.000774835976172288</v>
      </c>
      <c r="AM197" s="32" t="str">
        <f t="shared" si="166"/>
        <v>1-0,00866293130432526i</v>
      </c>
      <c r="AN197" s="32">
        <f t="shared" si="187"/>
        <v>1.00003752248542</v>
      </c>
      <c r="AO197" s="32">
        <f t="shared" si="188"/>
        <v>-0.00866271460687458</v>
      </c>
      <c r="AP197" s="30" t="str">
        <f t="shared" si="189"/>
        <v>49,1173244024122-36,2745509349968i</v>
      </c>
      <c r="AQ197" s="32">
        <f t="shared" si="190"/>
        <v>35.7151721118266</v>
      </c>
      <c r="AR197" s="31">
        <f t="shared" si="191"/>
        <v>-36.446929698037</v>
      </c>
      <c r="AS197" t="str">
        <f t="shared" si="167"/>
        <v>-0,000338461538461538</v>
      </c>
      <c r="AT197" t="str">
        <f t="shared" si="168"/>
        <v>0,00067819082058631i</v>
      </c>
      <c r="AU197">
        <f t="shared" si="192"/>
        <v>0.00067819082058631</v>
      </c>
      <c r="AV197">
        <f t="shared" si="193"/>
        <v>1.5707963267949</v>
      </c>
      <c r="AW197" t="str">
        <f t="shared" si="169"/>
        <v>1+0,11006785952896i</v>
      </c>
      <c r="AX197">
        <f t="shared" si="194"/>
        <v>1.00603923069694</v>
      </c>
      <c r="AY197">
        <f t="shared" si="195"/>
        <v>0.109626574524539</v>
      </c>
      <c r="AZ197" t="str">
        <f t="shared" si="170"/>
        <v>1+0,960796802731757i</v>
      </c>
      <c r="BA197">
        <f t="shared" si="196"/>
        <v>1.38676980647098</v>
      </c>
      <c r="BB197">
        <f t="shared" si="197"/>
        <v>0.765407323567164</v>
      </c>
      <c r="BC197" s="30" t="str">
        <f t="shared" si="198"/>
        <v>-0,419487276274148+0,545237415447305i</v>
      </c>
      <c r="BD197" s="32">
        <f t="shared" si="199"/>
        <v>-3.2490624425205</v>
      </c>
      <c r="BE197" s="31">
        <f t="shared" si="200"/>
        <v>127.57346920607</v>
      </c>
      <c r="BF197" s="30" t="str">
        <f t="shared" si="201"/>
        <v>1,76926563336252+6,6220837111827i</v>
      </c>
      <c r="BG197" s="68">
        <f t="shared" si="202"/>
        <v>16.71934214141</v>
      </c>
      <c r="BH197" s="31">
        <f t="shared" si="203"/>
        <v>75.0413104118132</v>
      </c>
      <c r="BI197" s="30" t="str">
        <f t="shared" si="209"/>
        <v>-0,825850233132361+41,9973155806477i</v>
      </c>
      <c r="BJ197" s="68">
        <f t="shared" si="204"/>
        <v>32.4661096693061</v>
      </c>
      <c r="BK197" s="31">
        <f t="shared" si="210"/>
        <v>91.1265395080331</v>
      </c>
      <c r="BL197" s="32">
        <f t="shared" si="205"/>
        <v>16.71934214141</v>
      </c>
      <c r="BM197" s="31">
        <f t="shared" si="206"/>
        <v>75.0413104118132</v>
      </c>
      <c r="BO197">
        <f t="shared" si="207"/>
        <v>0</v>
      </c>
      <c r="BP197">
        <f t="shared" si="208"/>
        <v>0</v>
      </c>
    </row>
    <row r="198" spans="14:68">
      <c r="N198" s="7">
        <v>80</v>
      </c>
      <c r="O198" s="18">
        <f t="shared" si="211"/>
        <v>630.957344480193</v>
      </c>
      <c r="P198" s="86" t="str">
        <f t="shared" si="159"/>
        <v>15</v>
      </c>
      <c r="Q198" s="4" t="str">
        <f t="shared" si="160"/>
        <v>1+1,15628972558604i</v>
      </c>
      <c r="R198" s="4">
        <f t="shared" si="171"/>
        <v>1.52872689827053</v>
      </c>
      <c r="S198" s="4">
        <f t="shared" si="172"/>
        <v>0.857752492766198</v>
      </c>
      <c r="T198" s="4" t="str">
        <f t="shared" si="161"/>
        <v>1+0,000792884383259i</v>
      </c>
      <c r="U198" s="4">
        <f t="shared" si="173"/>
        <v>1.00000031433277</v>
      </c>
      <c r="V198" s="4">
        <f t="shared" si="174"/>
        <v>0.000792884217106005</v>
      </c>
      <c r="W198" t="str">
        <f t="shared" si="162"/>
        <v>1-0,0693773835351626i</v>
      </c>
      <c r="X198" s="4">
        <f t="shared" si="175"/>
        <v>1.00240372173401</v>
      </c>
      <c r="Y198" s="4">
        <f t="shared" si="176"/>
        <v>-0.0692663943208794</v>
      </c>
      <c r="Z198" t="str">
        <f t="shared" si="163"/>
        <v>0,999997169015676+0,00368124892227392i</v>
      </c>
      <c r="AA198" s="4">
        <f t="shared" si="177"/>
        <v>1.00000394480872</v>
      </c>
      <c r="AB198" s="4">
        <f t="shared" si="178"/>
        <v>0.00368124271492558</v>
      </c>
      <c r="AC198" s="67" t="str">
        <f t="shared" si="179"/>
        <v>5,88080869975041-7,88389647164506i</v>
      </c>
      <c r="AD198" s="68">
        <f t="shared" si="180"/>
        <v>19.8560489131638</v>
      </c>
      <c r="AE198" s="31">
        <f t="shared" si="181"/>
        <v>-53.27976051065</v>
      </c>
      <c r="AF198" s="32" t="str">
        <f t="shared" si="182"/>
        <v>75,4669735059805</v>
      </c>
      <c r="AG198" s="32" t="str">
        <f t="shared" si="164"/>
        <v>1+0,743329109305313i</v>
      </c>
      <c r="AH198" s="32">
        <f t="shared" si="183"/>
        <v>1.24600889432645</v>
      </c>
      <c r="AI198" s="32">
        <f t="shared" si="184"/>
        <v>0.639218050384377</v>
      </c>
      <c r="AJ198" s="32" t="str">
        <f t="shared" si="165"/>
        <v>1+0,000792884383259i</v>
      </c>
      <c r="AK198" s="32">
        <f t="shared" si="185"/>
        <v>1.00000031433277</v>
      </c>
      <c r="AL198" s="32">
        <f t="shared" si="186"/>
        <v>0.000792884217106005</v>
      </c>
      <c r="AM198" s="32" t="str">
        <f t="shared" si="166"/>
        <v>1-0,0088647168963256i</v>
      </c>
      <c r="AN198" s="32">
        <f t="shared" si="187"/>
        <v>1.00003929083094</v>
      </c>
      <c r="AO198" s="32">
        <f t="shared" si="188"/>
        <v>-0.00886448470131651</v>
      </c>
      <c r="AP198" s="30" t="str">
        <f t="shared" si="189"/>
        <v>48,3174595539308-36,5249309445272i</v>
      </c>
      <c r="AQ198" s="32">
        <f t="shared" si="190"/>
        <v>35.6450598223647</v>
      </c>
      <c r="AR198" s="31">
        <f t="shared" si="191"/>
        <v>-37.0869651172667</v>
      </c>
      <c r="AS198" t="str">
        <f t="shared" si="167"/>
        <v>-0,000338461538461538</v>
      </c>
      <c r="AT198" t="str">
        <f t="shared" si="168"/>
        <v>0,000693987914135105i</v>
      </c>
      <c r="AU198">
        <f t="shared" si="192"/>
        <v>0.000693987914135105</v>
      </c>
      <c r="AV198">
        <f t="shared" si="193"/>
        <v>1.5707963267949</v>
      </c>
      <c r="AW198" t="str">
        <f t="shared" si="169"/>
        <v>1+0,112631669331327i</v>
      </c>
      <c r="AX198">
        <f t="shared" si="194"/>
        <v>1.00632295657824</v>
      </c>
      <c r="AY198">
        <f t="shared" si="195"/>
        <v>0.112158984241977</v>
      </c>
      <c r="AZ198" t="str">
        <f t="shared" si="170"/>
        <v>1+0,98317663524116i</v>
      </c>
      <c r="BA198">
        <f t="shared" si="196"/>
        <v>1.40236810291882</v>
      </c>
      <c r="BB198">
        <f t="shared" si="197"/>
        <v>0.776915327864831</v>
      </c>
      <c r="BC198" s="30" t="str">
        <f t="shared" si="198"/>
        <v>-0,419250766477721+0,534926148280557i</v>
      </c>
      <c r="BD198" s="32">
        <f t="shared" si="199"/>
        <v>-3.35435876069048</v>
      </c>
      <c r="BE198" s="31">
        <f t="shared" si="200"/>
        <v>128.087732894138</v>
      </c>
      <c r="BF198" s="30" t="str">
        <f t="shared" si="201"/>
        <v>1,75176881814056+6,45112798510047i</v>
      </c>
      <c r="BG198" s="68">
        <f t="shared" si="202"/>
        <v>16.5016901524734</v>
      </c>
      <c r="BH198" s="31">
        <f t="shared" si="203"/>
        <v>74.8079723834879</v>
      </c>
      <c r="BI198" s="30" t="str">
        <f t="shared" si="209"/>
        <v>-0,718991325872516+41,1593778279247i</v>
      </c>
      <c r="BJ198" s="68">
        <f t="shared" si="204"/>
        <v>32.2907010616743</v>
      </c>
      <c r="BK198" s="31">
        <f t="shared" si="210"/>
        <v>91.0007677768713</v>
      </c>
      <c r="BL198" s="32">
        <f t="shared" si="205"/>
        <v>16.5016901524734</v>
      </c>
      <c r="BM198" s="31">
        <f t="shared" si="206"/>
        <v>74.8079723834879</v>
      </c>
      <c r="BO198">
        <f t="shared" si="207"/>
        <v>0</v>
      </c>
      <c r="BP198">
        <f t="shared" si="208"/>
        <v>0</v>
      </c>
    </row>
    <row r="199" spans="14:68">
      <c r="N199" s="7">
        <v>81</v>
      </c>
      <c r="O199" s="18">
        <f t="shared" si="211"/>
        <v>645.654229034656</v>
      </c>
      <c r="P199" s="86" t="str">
        <f t="shared" si="159"/>
        <v>15</v>
      </c>
      <c r="Q199" s="4" t="str">
        <f t="shared" si="160"/>
        <v>1+1,18322317323843i</v>
      </c>
      <c r="R199" s="4">
        <f t="shared" si="171"/>
        <v>1.5491988502734</v>
      </c>
      <c r="S199" s="4">
        <f t="shared" si="172"/>
        <v>0.869125209920973</v>
      </c>
      <c r="T199" s="4" t="str">
        <f t="shared" si="161"/>
        <v>1+0,000811353033077782i</v>
      </c>
      <c r="U199" s="4">
        <f t="shared" si="173"/>
        <v>1.00000032914682</v>
      </c>
      <c r="V199" s="4">
        <f t="shared" si="174"/>
        <v>0.000811352855041644</v>
      </c>
      <c r="W199" t="str">
        <f t="shared" si="162"/>
        <v>1-0,070993390394306i</v>
      </c>
      <c r="X199" s="4">
        <f t="shared" si="175"/>
        <v>1.00251686343905</v>
      </c>
      <c r="Y199" s="4">
        <f t="shared" si="176"/>
        <v>-0.0708744794281129</v>
      </c>
      <c r="Z199" t="str">
        <f t="shared" si="163"/>
        <v>0,999997035595495+0,00376699622500398i</v>
      </c>
      <c r="AA199" s="4">
        <f t="shared" si="177"/>
        <v>1.00000413072164</v>
      </c>
      <c r="AB199" s="4">
        <f t="shared" si="178"/>
        <v>0.00376698957371159</v>
      </c>
      <c r="AC199" s="67" t="str">
        <f t="shared" si="179"/>
        <v>5,70173757254453-7,85565449752711i</v>
      </c>
      <c r="AD199" s="68">
        <f t="shared" si="180"/>
        <v>19.7414825743285</v>
      </c>
      <c r="AE199" s="31">
        <f t="shared" si="181"/>
        <v>-54.0273604530648</v>
      </c>
      <c r="AF199" s="32" t="str">
        <f t="shared" si="182"/>
        <v>75,4669735059805</v>
      </c>
      <c r="AG199" s="32" t="str">
        <f t="shared" si="164"/>
        <v>1+0,760643468510421i</v>
      </c>
      <c r="AH199" s="32">
        <f t="shared" si="183"/>
        <v>1.25641493392413</v>
      </c>
      <c r="AI199" s="32">
        <f t="shared" si="184"/>
        <v>0.650278201104059</v>
      </c>
      <c r="AJ199" s="32" t="str">
        <f t="shared" si="165"/>
        <v>1+0,000811353033077782i</v>
      </c>
      <c r="AK199" s="32">
        <f t="shared" si="185"/>
        <v>1.00000032914682</v>
      </c>
      <c r="AL199" s="32">
        <f t="shared" si="186"/>
        <v>0.000811352855041644</v>
      </c>
      <c r="AM199" s="32" t="str">
        <f t="shared" si="166"/>
        <v>1-0,00907120267856278i</v>
      </c>
      <c r="AN199" s="32">
        <f t="shared" si="187"/>
        <v>1.00004114251266</v>
      </c>
      <c r="AO199" s="32">
        <f t="shared" si="188"/>
        <v>-0.00907095387768078</v>
      </c>
      <c r="AP199" s="30" t="str">
        <f t="shared" si="189"/>
        <v>47,5069093126579-36,7591661321493i</v>
      </c>
      <c r="AQ199" s="32">
        <f t="shared" si="190"/>
        <v>35.5728370858089</v>
      </c>
      <c r="AR199" s="31">
        <f t="shared" si="191"/>
        <v>-37.7314367116811</v>
      </c>
      <c r="AS199" t="str">
        <f t="shared" si="167"/>
        <v>-0,000338461538461538</v>
      </c>
      <c r="AT199" t="str">
        <f t="shared" si="168"/>
        <v>0,000710152969261991i</v>
      </c>
      <c r="AU199">
        <f t="shared" si="192"/>
        <v>0.000710152969261991</v>
      </c>
      <c r="AV199">
        <f t="shared" si="193"/>
        <v>1.5707963267949</v>
      </c>
      <c r="AW199" t="str">
        <f t="shared" si="169"/>
        <v>1+0,11525519793563i</v>
      </c>
      <c r="AX199">
        <f t="shared" si="194"/>
        <v>1.00661996833521</v>
      </c>
      <c r="AY199">
        <f t="shared" si="195"/>
        <v>0.114748886461709</v>
      </c>
      <c r="AZ199" t="str">
        <f t="shared" si="170"/>
        <v>1+1,00607776101645i</v>
      </c>
      <c r="BA199">
        <f t="shared" si="196"/>
        <v>1.41851769858958</v>
      </c>
      <c r="BB199">
        <f t="shared" si="197"/>
        <v>0.788427827819682</v>
      </c>
      <c r="BC199" s="30" t="str">
        <f t="shared" si="198"/>
        <v>-0,419003395990377+0,524896027430784i</v>
      </c>
      <c r="BD199" s="32">
        <f t="shared" si="199"/>
        <v>-3.4574673107012</v>
      </c>
      <c r="BE199" s="31">
        <f t="shared" si="200"/>
        <v>128.598960086653</v>
      </c>
      <c r="BF199" s="30" t="str">
        <f t="shared" si="201"/>
        <v>1,73435443267867+6,2843653134724i</v>
      </c>
      <c r="BG199" s="68">
        <f t="shared" si="202"/>
        <v>16.2840152636273</v>
      </c>
      <c r="BH199" s="31">
        <f t="shared" si="203"/>
        <v>74.5715996335883</v>
      </c>
      <c r="BI199" s="30" t="str">
        <f t="shared" si="209"/>
        <v>-0,610816060577143+40,3384034168737i</v>
      </c>
      <c r="BJ199" s="68">
        <f t="shared" si="204"/>
        <v>32.1153697751077</v>
      </c>
      <c r="BK199" s="31">
        <f t="shared" si="210"/>
        <v>90.867523374972</v>
      </c>
      <c r="BL199" s="32">
        <f t="shared" si="205"/>
        <v>16.2840152636273</v>
      </c>
      <c r="BM199" s="31">
        <f t="shared" si="206"/>
        <v>74.5715996335883</v>
      </c>
      <c r="BO199">
        <f t="shared" si="207"/>
        <v>0</v>
      </c>
      <c r="BP199">
        <f t="shared" si="208"/>
        <v>0</v>
      </c>
    </row>
    <row r="200" spans="14:68">
      <c r="N200" s="7">
        <v>82</v>
      </c>
      <c r="O200" s="18">
        <f t="shared" si="211"/>
        <v>660.693448007596</v>
      </c>
      <c r="P200" s="86" t="str">
        <f t="shared" si="159"/>
        <v>15</v>
      </c>
      <c r="Q200" s="4" t="str">
        <f t="shared" si="160"/>
        <v>1+1,21078398147908i</v>
      </c>
      <c r="R200" s="4">
        <f t="shared" si="171"/>
        <v>1.57034959477383</v>
      </c>
      <c r="S200" s="4">
        <f t="shared" si="172"/>
        <v>0.880454370354643</v>
      </c>
      <c r="T200" s="4" t="str">
        <f t="shared" si="161"/>
        <v>1+0,00083025187301423i</v>
      </c>
      <c r="U200" s="4">
        <f t="shared" si="173"/>
        <v>1.00000034465903</v>
      </c>
      <c r="V200" s="4">
        <f t="shared" si="174"/>
        <v>0.000830251682245074</v>
      </c>
      <c r="W200" t="str">
        <f t="shared" si="162"/>
        <v>1-0,0726470388887452i</v>
      </c>
      <c r="X200" s="4">
        <f t="shared" si="175"/>
        <v>1.00263532366424</v>
      </c>
      <c r="Y200" s="4">
        <f t="shared" si="176"/>
        <v>-0.0725196415733653</v>
      </c>
      <c r="Z200" t="str">
        <f t="shared" si="163"/>
        <v>0,999996895887415+0,00385474083899463i</v>
      </c>
      <c r="AA200" s="4">
        <f t="shared" si="177"/>
        <v>1.00000432539635</v>
      </c>
      <c r="AB200" s="4">
        <f t="shared" si="178"/>
        <v>0.00385473371200776</v>
      </c>
      <c r="AC200" s="67" t="str">
        <f t="shared" si="179"/>
        <v>5,5240354390354-7,82347686489884i</v>
      </c>
      <c r="AD200" s="68">
        <f t="shared" si="180"/>
        <v>19.6247236910654</v>
      </c>
      <c r="AE200" s="31">
        <f t="shared" si="181"/>
        <v>-54.7746789246431</v>
      </c>
      <c r="AF200" s="32" t="str">
        <f t="shared" si="182"/>
        <v>75,4669735059805</v>
      </c>
      <c r="AG200" s="32" t="str">
        <f t="shared" si="164"/>
        <v>1+0,778361130950841i</v>
      </c>
      <c r="AH200" s="32">
        <f t="shared" si="183"/>
        <v>1.26721981130942</v>
      </c>
      <c r="AI200" s="32">
        <f t="shared" si="184"/>
        <v>0.661406540009104</v>
      </c>
      <c r="AJ200" s="32" t="str">
        <f t="shared" si="165"/>
        <v>1+0,00083025187301423i</v>
      </c>
      <c r="AK200" s="32">
        <f t="shared" si="185"/>
        <v>1.00000034465903</v>
      </c>
      <c r="AL200" s="32">
        <f t="shared" si="186"/>
        <v>0.000830251682245074</v>
      </c>
      <c r="AM200" s="32" t="str">
        <f t="shared" si="166"/>
        <v>1-0,0092824981325317i</v>
      </c>
      <c r="AN200" s="32">
        <f t="shared" si="187"/>
        <v>1.00004308145778</v>
      </c>
      <c r="AO200" s="32">
        <f t="shared" si="188"/>
        <v>-0.00928223153820376</v>
      </c>
      <c r="AP200" s="30" t="str">
        <f t="shared" si="189"/>
        <v>46,6863342465127-36,9766933685976i</v>
      </c>
      <c r="AQ200" s="32">
        <f t="shared" si="190"/>
        <v>35.4984767797541</v>
      </c>
      <c r="AR200" s="31">
        <f t="shared" si="191"/>
        <v>-38.3800660591483</v>
      </c>
      <c r="AS200" t="str">
        <f t="shared" si="167"/>
        <v>-0,000338461538461538</v>
      </c>
      <c r="AT200" t="str">
        <f t="shared" si="168"/>
        <v>0,000726694556893165i</v>
      </c>
      <c r="AU200">
        <f t="shared" si="192"/>
        <v>0.000726694556893165</v>
      </c>
      <c r="AV200">
        <f t="shared" si="193"/>
        <v>1.5707963267949</v>
      </c>
      <c r="AW200" t="str">
        <f t="shared" si="169"/>
        <v>1+0,117939836371462i</v>
      </c>
      <c r="AX200">
        <f t="shared" si="194"/>
        <v>1.00693088392567</v>
      </c>
      <c r="AY200">
        <f t="shared" si="195"/>
        <v>0.117397515332906</v>
      </c>
      <c r="AZ200" t="str">
        <f t="shared" si="170"/>
        <v>1+1,02951232253764i</v>
      </c>
      <c r="BA200">
        <f t="shared" si="196"/>
        <v>1.43523364727031</v>
      </c>
      <c r="BB200">
        <f t="shared" si="197"/>
        <v>0.799938721871391</v>
      </c>
      <c r="BC200" s="30" t="str">
        <f t="shared" si="198"/>
        <v>-0,418744679970177+0,515141562228415i</v>
      </c>
      <c r="BD200" s="32">
        <f t="shared" si="199"/>
        <v>-3.55839274410778</v>
      </c>
      <c r="BE200" s="31">
        <f t="shared" si="200"/>
        <v>129.106730478422</v>
      </c>
      <c r="BF200" s="30" t="str">
        <f t="shared" si="201"/>
        <v>1,71703764217906+6,12169956191597i</v>
      </c>
      <c r="BG200" s="68">
        <f t="shared" si="202"/>
        <v>16.0663309469576</v>
      </c>
      <c r="BH200" s="31">
        <f t="shared" si="203"/>
        <v>74.3320515537791</v>
      </c>
      <c r="BI200" s="30" t="str">
        <f t="shared" si="209"/>
        <v>-0,501422505096233+39,5338647894553i</v>
      </c>
      <c r="BJ200" s="68">
        <f t="shared" si="204"/>
        <v>31.9400840356463</v>
      </c>
      <c r="BK200" s="31">
        <f t="shared" si="210"/>
        <v>90.726664419274</v>
      </c>
      <c r="BL200" s="32">
        <f t="shared" si="205"/>
        <v>16.0663309469576</v>
      </c>
      <c r="BM200" s="31">
        <f t="shared" si="206"/>
        <v>74.3320515537791</v>
      </c>
      <c r="BO200">
        <f t="shared" si="207"/>
        <v>0</v>
      </c>
      <c r="BP200">
        <f t="shared" si="208"/>
        <v>0</v>
      </c>
    </row>
    <row r="201" spans="14:68">
      <c r="N201" s="7">
        <v>83</v>
      </c>
      <c r="O201" s="18">
        <f t="shared" si="211"/>
        <v>676.082975391982</v>
      </c>
      <c r="P201" s="86" t="str">
        <f t="shared" si="159"/>
        <v>15</v>
      </c>
      <c r="Q201" s="4" t="str">
        <f t="shared" si="160"/>
        <v>1+1,23898676341334i</v>
      </c>
      <c r="R201" s="4">
        <f t="shared" si="171"/>
        <v>1.59219603061729</v>
      </c>
      <c r="S201" s="4">
        <f t="shared" si="172"/>
        <v>0.891734348951027</v>
      </c>
      <c r="T201" s="4" t="str">
        <f t="shared" si="161"/>
        <v>1+0,000849590923483432i</v>
      </c>
      <c r="U201" s="4">
        <f t="shared" si="173"/>
        <v>1.0000003609023</v>
      </c>
      <c r="V201" s="4">
        <f t="shared" si="174"/>
        <v>0.000849590719070603</v>
      </c>
      <c r="W201" t="str">
        <f t="shared" si="162"/>
        <v>1-0,0743392058048004i</v>
      </c>
      <c r="X201" s="4">
        <f t="shared" si="175"/>
        <v>1.00275935174881</v>
      </c>
      <c r="Y201" s="4">
        <f t="shared" si="176"/>
        <v>-0.0742027174015792</v>
      </c>
      <c r="Z201" t="str">
        <f t="shared" si="163"/>
        <v>0,999996749595096+0,00394452928760164i</v>
      </c>
      <c r="AA201" s="4">
        <f t="shared" si="177"/>
        <v>1.00000452924577</v>
      </c>
      <c r="AB201" s="4">
        <f t="shared" si="178"/>
        <v>0.00394452165089911</v>
      </c>
      <c r="AC201" s="67" t="str">
        <f t="shared" si="179"/>
        <v>5,34787278256136-7,78744538492634i</v>
      </c>
      <c r="AD201" s="68">
        <f t="shared" si="180"/>
        <v>19.5057926560608</v>
      </c>
      <c r="AE201" s="31">
        <f t="shared" si="181"/>
        <v>-55.5214436575307</v>
      </c>
      <c r="AF201" s="32" t="str">
        <f t="shared" si="182"/>
        <v>75,4669735059805</v>
      </c>
      <c r="AG201" s="32" t="str">
        <f t="shared" si="164"/>
        <v>1+0,796491490765718i</v>
      </c>
      <c r="AH201" s="32">
        <f t="shared" si="183"/>
        <v>1.27843603471671</v>
      </c>
      <c r="AI201" s="32">
        <f t="shared" si="184"/>
        <v>0.672597942924978</v>
      </c>
      <c r="AJ201" s="32" t="str">
        <f t="shared" si="165"/>
        <v>1+0,000849590923483432i</v>
      </c>
      <c r="AK201" s="32">
        <f t="shared" si="185"/>
        <v>1.0000003609023</v>
      </c>
      <c r="AL201" s="32">
        <f t="shared" si="186"/>
        <v>0.000849590719070603</v>
      </c>
      <c r="AM201" s="32" t="str">
        <f t="shared" si="166"/>
        <v>1-0,00949871528987888i</v>
      </c>
      <c r="AN201" s="32">
        <f t="shared" si="187"/>
        <v>1.00004511177854</v>
      </c>
      <c r="AO201" s="32">
        <f t="shared" si="188"/>
        <v>-0.00949842962960578</v>
      </c>
      <c r="AP201" s="30" t="str">
        <f t="shared" si="189"/>
        <v>45,8564328616552-37,1769818105865i</v>
      </c>
      <c r="AQ201" s="32">
        <f t="shared" si="190"/>
        <v>35.4219535653807</v>
      </c>
      <c r="AR201" s="31">
        <f t="shared" si="191"/>
        <v>-39.0325654060444</v>
      </c>
      <c r="AS201" t="str">
        <f t="shared" si="167"/>
        <v>-0,000338461538461538</v>
      </c>
      <c r="AT201" t="str">
        <f t="shared" si="168"/>
        <v>0,000743621447597343i</v>
      </c>
      <c r="AU201">
        <f t="shared" si="192"/>
        <v>0.000743621447597343</v>
      </c>
      <c r="AV201">
        <f t="shared" si="193"/>
        <v>1.5707963267949</v>
      </c>
      <c r="AW201" t="str">
        <f t="shared" si="169"/>
        <v>1+0,120687008069656i</v>
      </c>
      <c r="AX201">
        <f t="shared" si="194"/>
        <v>1.00725634965326</v>
      </c>
      <c r="AY201">
        <f t="shared" si="195"/>
        <v>0.120106126467446</v>
      </c>
      <c r="AZ201" t="str">
        <f t="shared" si="170"/>
        <v>1+1,05349274511946i</v>
      </c>
      <c r="BA201">
        <f t="shared" si="196"/>
        <v>1.45253122652125</v>
      </c>
      <c r="BB201">
        <f t="shared" si="197"/>
        <v>0.811441912712976</v>
      </c>
      <c r="BC201" s="30" t="str">
        <f t="shared" si="198"/>
        <v>-0,418474113250234+0,505657396379249i</v>
      </c>
      <c r="BD201" s="32">
        <f t="shared" si="199"/>
        <v>-3.6571423851479</v>
      </c>
      <c r="BE201" s="31">
        <f t="shared" si="200"/>
        <v>129.610622778227</v>
      </c>
      <c r="BF201" s="30" t="str">
        <f t="shared" si="201"/>
        <v>1,69983303733002+5,9630357293391i</v>
      </c>
      <c r="BG201" s="68">
        <f t="shared" si="202"/>
        <v>15.8486502709129</v>
      </c>
      <c r="BH201" s="31">
        <f t="shared" si="203"/>
        <v>74.0891791206966</v>
      </c>
      <c r="BI201" s="30" t="str">
        <f t="shared" si="209"/>
        <v>-0,390914251020185+38,7452489445697i</v>
      </c>
      <c r="BJ201" s="68">
        <f t="shared" si="204"/>
        <v>31.7648111802329</v>
      </c>
      <c r="BK201" s="31">
        <f t="shared" si="210"/>
        <v>90.5780573721828</v>
      </c>
      <c r="BL201" s="32">
        <f t="shared" si="205"/>
        <v>15.8486502709129</v>
      </c>
      <c r="BM201" s="31">
        <f t="shared" si="206"/>
        <v>74.0891791206966</v>
      </c>
      <c r="BO201">
        <f t="shared" si="207"/>
        <v>0</v>
      </c>
      <c r="BP201">
        <f t="shared" si="208"/>
        <v>0</v>
      </c>
    </row>
    <row r="202" spans="14:68">
      <c r="N202" s="7">
        <v>84</v>
      </c>
      <c r="O202" s="18">
        <f t="shared" si="211"/>
        <v>691.830970918937</v>
      </c>
      <c r="P202" s="86" t="str">
        <f t="shared" si="159"/>
        <v>15</v>
      </c>
      <c r="Q202" s="4" t="str">
        <f t="shared" si="160"/>
        <v>1+1,26784647252948i</v>
      </c>
      <c r="R202" s="4">
        <f t="shared" si="171"/>
        <v>1.61475529969883</v>
      </c>
      <c r="S202" s="4">
        <f t="shared" si="172"/>
        <v>0.902959645285958</v>
      </c>
      <c r="T202" s="4" t="str">
        <f t="shared" si="161"/>
        <v>1+0,00086938043830593i</v>
      </c>
      <c r="U202" s="4">
        <f t="shared" si="173"/>
        <v>1.0000003779111</v>
      </c>
      <c r="V202" s="4">
        <f t="shared" si="174"/>
        <v>0.000869380219273642</v>
      </c>
      <c r="W202" t="str">
        <f t="shared" si="162"/>
        <v>1-0,0760707883517689i</v>
      </c>
      <c r="X202" s="4">
        <f t="shared" si="175"/>
        <v>1.0028892086569</v>
      </c>
      <c r="Y202" s="4">
        <f t="shared" si="176"/>
        <v>-0.075924561138678</v>
      </c>
      <c r="Z202" t="str">
        <f t="shared" si="163"/>
        <v>0,999996596408232+0,00403640917784895i</v>
      </c>
      <c r="AA202" s="4">
        <f t="shared" si="177"/>
        <v>1.0000047427023</v>
      </c>
      <c r="AB202" s="4">
        <f t="shared" si="178"/>
        <v>0.00403640099497644</v>
      </c>
      <c r="AC202" s="67" t="str">
        <f t="shared" si="179"/>
        <v>5,1734139131354-7,74765072797307i</v>
      </c>
      <c r="AD202" s="68">
        <f t="shared" si="180"/>
        <v>19.3847120616533</v>
      </c>
      <c r="AE202" s="31">
        <f t="shared" si="181"/>
        <v>-56.2673905842225</v>
      </c>
      <c r="AF202" s="32" t="str">
        <f t="shared" si="182"/>
        <v>75,4669735059805</v>
      </c>
      <c r="AG202" s="32" t="str">
        <f t="shared" si="164"/>
        <v>1+0,81504416091181i</v>
      </c>
      <c r="AH202" s="32">
        <f t="shared" si="183"/>
        <v>1.29007634821992</v>
      </c>
      <c r="AI202" s="32">
        <f t="shared" si="184"/>
        <v>0.683847130701429</v>
      </c>
      <c r="AJ202" s="32" t="str">
        <f t="shared" si="165"/>
        <v>1+0,00086938043830593i</v>
      </c>
      <c r="AK202" s="32">
        <f t="shared" si="185"/>
        <v>1.0000003779111</v>
      </c>
      <c r="AL202" s="32">
        <f t="shared" si="186"/>
        <v>0.000869380219273642</v>
      </c>
      <c r="AM202" s="32" t="str">
        <f t="shared" si="166"/>
        <v>1-0,0097199687918031i</v>
      </c>
      <c r="AN202" s="32">
        <f t="shared" si="187"/>
        <v>1.00004723778095</v>
      </c>
      <c r="AO202" s="32">
        <f t="shared" si="188"/>
        <v>-0.00971966270208661</v>
      </c>
      <c r="AP202" s="30" t="str">
        <f t="shared" si="189"/>
        <v>45,01793961148-37,359535933403i</v>
      </c>
      <c r="AQ202" s="32">
        <f t="shared" si="190"/>
        <v>35.3432439844482</v>
      </c>
      <c r="AR202" s="31">
        <f t="shared" si="191"/>
        <v>-39.6886382550869</v>
      </c>
      <c r="AS202" t="str">
        <f t="shared" si="167"/>
        <v>-0,000338461538461538</v>
      </c>
      <c r="AT202" t="str">
        <f t="shared" si="168"/>
        <v>0,000760942616236032i</v>
      </c>
      <c r="AU202">
        <f t="shared" si="192"/>
        <v>0.000760942616236032</v>
      </c>
      <c r="AV202">
        <f t="shared" si="193"/>
        <v>1.5707963267949</v>
      </c>
      <c r="AW202" t="str">
        <f t="shared" si="169"/>
        <v>1+0,12349816961701i</v>
      </c>
      <c r="AX202">
        <f t="shared" si="194"/>
        <v>1.00759704143013</v>
      </c>
      <c r="AY202">
        <f t="shared" si="195"/>
        <v>0.122875996945895</v>
      </c>
      <c r="AZ202" t="str">
        <f t="shared" si="170"/>
        <v>1+1,07803174349935i</v>
      </c>
      <c r="BA202">
        <f t="shared" si="196"/>
        <v>1.47042593828872</v>
      </c>
      <c r="BB202">
        <f t="shared" si="197"/>
        <v>0.822931323420089</v>
      </c>
      <c r="BC202" s="30" t="str">
        <f t="shared" si="198"/>
        <v>-0,418191169612767+0,496438304348156i</v>
      </c>
      <c r="BD202" s="32">
        <f t="shared" si="199"/>
        <v>-3.75372623260532</v>
      </c>
      <c r="BE202" s="31">
        <f t="shared" si="200"/>
        <v>130.110215632624</v>
      </c>
      <c r="BF202" s="30" t="str">
        <f t="shared" si="201"/>
        <v>1,68275457485165+5,80827995041036i</v>
      </c>
      <c r="BG202" s="68">
        <f t="shared" si="202"/>
        <v>15.630985829048</v>
      </c>
      <c r="BH202" s="31">
        <f t="shared" si="203"/>
        <v>73.8428250484019</v>
      </c>
      <c r="BI202" s="30" t="str">
        <f t="shared" si="209"/>
        <v>-0,279400149669144+37,9720576341508i</v>
      </c>
      <c r="BJ202" s="68">
        <f t="shared" si="204"/>
        <v>31.5895177518429</v>
      </c>
      <c r="BK202" s="31">
        <f t="shared" si="210"/>
        <v>90.4215773775375</v>
      </c>
      <c r="BL202" s="32">
        <f t="shared" si="205"/>
        <v>15.630985829048</v>
      </c>
      <c r="BM202" s="31">
        <f t="shared" si="206"/>
        <v>73.8428250484019</v>
      </c>
      <c r="BO202">
        <f t="shared" si="207"/>
        <v>0</v>
      </c>
      <c r="BP202">
        <f t="shared" si="208"/>
        <v>0</v>
      </c>
    </row>
    <row r="203" spans="14:68">
      <c r="N203" s="7">
        <v>85</v>
      </c>
      <c r="O203" s="18">
        <f t="shared" si="211"/>
        <v>707.945784384139</v>
      </c>
      <c r="P203" s="86" t="str">
        <f t="shared" si="159"/>
        <v>15</v>
      </c>
      <c r="Q203" s="4" t="str">
        <f t="shared" si="160"/>
        <v>1+1,29737841062729i</v>
      </c>
      <c r="R203" s="4">
        <f t="shared" si="171"/>
        <v>1.6380447919278</v>
      </c>
      <c r="S203" s="4">
        <f t="shared" si="172"/>
        <v>0.914124896037749</v>
      </c>
      <c r="T203" s="4" t="str">
        <f t="shared" si="161"/>
        <v>1+0,00088963091014443i</v>
      </c>
      <c r="U203" s="4">
        <f t="shared" si="173"/>
        <v>1.0000003957215</v>
      </c>
      <c r="V203" s="4">
        <f t="shared" si="174"/>
        <v>0.00088963067544711</v>
      </c>
      <c r="W203" t="str">
        <f t="shared" si="162"/>
        <v>1-0,0778427046376377i</v>
      </c>
      <c r="X203" s="4">
        <f t="shared" si="175"/>
        <v>1.00302516751341</v>
      </c>
      <c r="Y203" s="4">
        <f t="shared" si="176"/>
        <v>-0.0776860448675143</v>
      </c>
      <c r="Z203" t="str">
        <f t="shared" si="163"/>
        <v>0,999996436001894+0,00413042922567056i</v>
      </c>
      <c r="AA203" s="4">
        <f t="shared" si="177"/>
        <v>1.00000496621871</v>
      </c>
      <c r="AB203" s="4">
        <f t="shared" si="178"/>
        <v>0.00413042045756657</v>
      </c>
      <c r="AC203" s="67" t="str">
        <f t="shared" si="179"/>
        <v>5,0008164041485-7,70419187893975i</v>
      </c>
      <c r="AD203" s="68">
        <f t="shared" si="180"/>
        <v>19.2615066232292</v>
      </c>
      <c r="AE203" s="31">
        <f t="shared" si="181"/>
        <v>-57.0122645655752</v>
      </c>
      <c r="AF203" s="32" t="str">
        <f t="shared" si="182"/>
        <v>75,4669735059805</v>
      </c>
      <c r="AG203" s="32" t="str">
        <f t="shared" si="164"/>
        <v>1+0,834028978260404i</v>
      </c>
      <c r="AH203" s="32">
        <f t="shared" si="183"/>
        <v>1.30215373000967</v>
      </c>
      <c r="AI203" s="32">
        <f t="shared" si="184"/>
        <v>0.695148680313134</v>
      </c>
      <c r="AJ203" s="32" t="str">
        <f t="shared" si="165"/>
        <v>1+0,00088963091014443i</v>
      </c>
      <c r="AK203" s="32">
        <f t="shared" si="185"/>
        <v>1.0000003957215</v>
      </c>
      <c r="AL203" s="32">
        <f t="shared" si="186"/>
        <v>0.00088963067544711</v>
      </c>
      <c r="AM203" s="32" t="str">
        <f t="shared" si="166"/>
        <v>1-0,00994637594983976i</v>
      </c>
      <c r="AN203" s="32">
        <f t="shared" si="187"/>
        <v>1.00004946397393</v>
      </c>
      <c r="AO203" s="32">
        <f t="shared" si="188"/>
        <v>-0.00994604796967556</v>
      </c>
      <c r="AP203" s="30" t="str">
        <f t="shared" si="189"/>
        <v>44,171622622284-37,5238984217288i</v>
      </c>
      <c r="AQ203" s="32">
        <f t="shared" si="190"/>
        <v>35.2623265506976</v>
      </c>
      <c r="AR203" s="31">
        <f t="shared" si="191"/>
        <v>-40.3479800045001</v>
      </c>
      <c r="AS203" t="str">
        <f t="shared" si="167"/>
        <v>-0,000338461538461538</v>
      </c>
      <c r="AT203" t="str">
        <f t="shared" si="168"/>
        <v>0,000778667246722115i</v>
      </c>
      <c r="AU203">
        <f t="shared" si="192"/>
        <v>0.000778667246722115</v>
      </c>
      <c r="AV203">
        <f t="shared" si="193"/>
        <v>1.5707963267949</v>
      </c>
      <c r="AW203" t="str">
        <f t="shared" si="169"/>
        <v>1+0,126374811528586i</v>
      </c>
      <c r="AX203">
        <f t="shared" si="194"/>
        <v>1.00795366609229</v>
      </c>
      <c r="AY203">
        <f t="shared" si="195"/>
        <v>0.125708425291489</v>
      </c>
      <c r="AZ203" t="str">
        <f t="shared" si="170"/>
        <v>1+1,10314232857909i</v>
      </c>
      <c r="BA203">
        <f t="shared" si="196"/>
        <v>1.48893350996708</v>
      </c>
      <c r="BB203">
        <f t="shared" si="197"/>
        <v>0.834400913448993</v>
      </c>
      <c r="BC203" s="30" t="str">
        <f t="shared" si="198"/>
        <v>-0,417895301049711+0,487479187764329i</v>
      </c>
      <c r="BD203" s="32">
        <f t="shared" si="199"/>
        <v>-3.84815695175918</v>
      </c>
      <c r="BE203" s="31">
        <f t="shared" si="200"/>
        <v>130.60508854405</v>
      </c>
      <c r="BF203" s="30" t="str">
        <f t="shared" si="201"/>
        <v>1,66581552282012+5,65733950344711i</v>
      </c>
      <c r="BG203" s="68">
        <f t="shared" si="202"/>
        <v>15.41334967147</v>
      </c>
      <c r="BH203" s="31">
        <f t="shared" si="203"/>
        <v>73.592823978475</v>
      </c>
      <c r="BI203" s="30" t="str">
        <f t="shared" si="209"/>
        <v>-0,166994009218055+37,2138075456506i</v>
      </c>
      <c r="BJ203" s="68">
        <f t="shared" si="204"/>
        <v>31.4141695989384</v>
      </c>
      <c r="BK203" s="31">
        <f t="shared" si="210"/>
        <v>90.2571085395502</v>
      </c>
      <c r="BL203" s="32">
        <f t="shared" si="205"/>
        <v>15.41334967147</v>
      </c>
      <c r="BM203" s="31">
        <f t="shared" si="206"/>
        <v>73.592823978475</v>
      </c>
      <c r="BO203">
        <f t="shared" si="207"/>
        <v>0</v>
      </c>
      <c r="BP203">
        <f t="shared" si="208"/>
        <v>0</v>
      </c>
    </row>
    <row r="204" spans="14:68">
      <c r="N204" s="7">
        <v>86</v>
      </c>
      <c r="O204" s="18">
        <f t="shared" si="211"/>
        <v>724.43596007499</v>
      </c>
      <c r="P204" s="86" t="str">
        <f t="shared" si="159"/>
        <v>15</v>
      </c>
      <c r="Q204" s="4" t="str">
        <f t="shared" si="160"/>
        <v>1+1,32759823593125i</v>
      </c>
      <c r="R204" s="4">
        <f t="shared" si="171"/>
        <v>1.66208215081198</v>
      </c>
      <c r="S204" s="4">
        <f t="shared" si="172"/>
        <v>0.925224886581598</v>
      </c>
      <c r="T204" s="4" t="str">
        <f t="shared" si="161"/>
        <v>1+0,000910353076067144i</v>
      </c>
      <c r="U204" s="4">
        <f t="shared" si="173"/>
        <v>1.00000041437128</v>
      </c>
      <c r="V204" s="4">
        <f t="shared" si="174"/>
        <v>0.00091035282458444</v>
      </c>
      <c r="W204" t="str">
        <f t="shared" si="162"/>
        <v>1-0,0796558941558752i</v>
      </c>
      <c r="X204" s="4">
        <f t="shared" si="175"/>
        <v>1.0031675141639</v>
      </c>
      <c r="Y204" s="4">
        <f t="shared" si="176"/>
        <v>-0.0794880588010306</v>
      </c>
      <c r="Z204" t="str">
        <f t="shared" si="163"/>
        <v>0,999996268035838+0,0042266392817403i</v>
      </c>
      <c r="AA204" s="4">
        <f t="shared" si="177"/>
        <v>1.00000520026909</v>
      </c>
      <c r="AB204" s="4">
        <f t="shared" si="178"/>
        <v>0.00422662988654971</v>
      </c>
      <c r="AC204" s="67" t="str">
        <f t="shared" si="179"/>
        <v>4,8302305841389-7,65717555312365i</v>
      </c>
      <c r="AD204" s="68">
        <f t="shared" si="180"/>
        <v>19.1362030960821</v>
      </c>
      <c r="AE204" s="31">
        <f t="shared" si="181"/>
        <v>-57.7558200719292</v>
      </c>
      <c r="AF204" s="32" t="str">
        <f t="shared" si="182"/>
        <v>75,4669735059805</v>
      </c>
      <c r="AG204" s="32" t="str">
        <f t="shared" si="164"/>
        <v>1+0,853456008812948i</v>
      </c>
      <c r="AH204" s="32">
        <f t="shared" si="183"/>
        <v>1.31468139067187</v>
      </c>
      <c r="AI204" s="32">
        <f t="shared" si="184"/>
        <v>0.706497036807683</v>
      </c>
      <c r="AJ204" s="32" t="str">
        <f t="shared" si="165"/>
        <v>1+0,000910353076067144i</v>
      </c>
      <c r="AK204" s="32">
        <f t="shared" si="185"/>
        <v>1.00000041437128</v>
      </c>
      <c r="AL204" s="32">
        <f t="shared" si="186"/>
        <v>0.00091035282458444</v>
      </c>
      <c r="AM204" s="32" t="str">
        <f t="shared" si="166"/>
        <v>1-0,0101780568080609i</v>
      </c>
      <c r="AN204" s="32">
        <f t="shared" si="187"/>
        <v>1.00005179507883</v>
      </c>
      <c r="AO204" s="32">
        <f t="shared" si="188"/>
        <v>-0.0101777053719663</v>
      </c>
      <c r="AP204" s="30" t="str">
        <f t="shared" si="189"/>
        <v>43,3182811471232-37,6696528884646i</v>
      </c>
      <c r="AQ204" s="32">
        <f t="shared" si="190"/>
        <v>35.179181834937</v>
      </c>
      <c r="AR204" s="31">
        <f t="shared" si="191"/>
        <v>-41.0102786358038</v>
      </c>
      <c r="AS204" t="str">
        <f t="shared" si="167"/>
        <v>-0,000338461538461538</v>
      </c>
      <c r="AT204" t="str">
        <f t="shared" si="168"/>
        <v>0,000796804736889288i</v>
      </c>
      <c r="AU204">
        <f t="shared" si="192"/>
        <v>0.000796804736889288</v>
      </c>
      <c r="AV204">
        <f t="shared" si="193"/>
        <v>1.5707963267949</v>
      </c>
      <c r="AW204" t="str">
        <f t="shared" si="169"/>
        <v>1+0,129318459038003i</v>
      </c>
      <c r="AX204">
        <f t="shared" si="194"/>
        <v>1.0083269627695</v>
      </c>
      <c r="AY204">
        <f t="shared" si="195"/>
        <v>0.128604731409431</v>
      </c>
      <c r="AZ204" t="str">
        <f t="shared" si="170"/>
        <v>1+1,12883781432326i</v>
      </c>
      <c r="BA204">
        <f t="shared" si="196"/>
        <v>1.50806989594187</v>
      </c>
      <c r="BB204">
        <f t="shared" si="197"/>
        <v>0.845844694400697</v>
      </c>
      <c r="BC204" s="30" t="str">
        <f t="shared" si="198"/>
        <v>-0,417585937010913+0,478775071843612i</v>
      </c>
      <c r="BD204" s="32">
        <f t="shared" si="199"/>
        <v>-3.94044985658852</v>
      </c>
      <c r="BE204" s="31">
        <f t="shared" si="200"/>
        <v>131.094822777519</v>
      </c>
      <c r="BF204" s="30" t="str">
        <f t="shared" si="201"/>
        <v>1,64902841110951+5,51012282315051i</v>
      </c>
      <c r="BG204" s="68">
        <f t="shared" si="202"/>
        <v>15.1957532394936</v>
      </c>
      <c r="BH204" s="31">
        <f t="shared" si="203"/>
        <v>73.3390027055899</v>
      </c>
      <c r="BI204" s="30" t="str">
        <f t="shared" si="209"/>
        <v>-0,0538142545250473+36,470030466661i</v>
      </c>
      <c r="BJ204" s="68">
        <f t="shared" si="204"/>
        <v>31.2387319783484</v>
      </c>
      <c r="BK204" s="31">
        <f t="shared" si="210"/>
        <v>90.0845441417152</v>
      </c>
      <c r="BL204" s="32">
        <f t="shared" si="205"/>
        <v>15.1957532394936</v>
      </c>
      <c r="BM204" s="31">
        <f t="shared" si="206"/>
        <v>73.3390027055899</v>
      </c>
      <c r="BO204">
        <f t="shared" si="207"/>
        <v>0</v>
      </c>
      <c r="BP204">
        <f t="shared" si="208"/>
        <v>0</v>
      </c>
    </row>
    <row r="205" spans="14:68">
      <c r="N205" s="7">
        <v>87</v>
      </c>
      <c r="O205" s="18">
        <f t="shared" si="211"/>
        <v>741.310241300918</v>
      </c>
      <c r="P205" s="86" t="str">
        <f t="shared" si="159"/>
        <v>15</v>
      </c>
      <c r="Q205" s="4" t="str">
        <f t="shared" si="160"/>
        <v>1+1,35852197139274i</v>
      </c>
      <c r="R205" s="4">
        <f t="shared" si="171"/>
        <v>1.68688527966688</v>
      </c>
      <c r="S205" s="4">
        <f t="shared" si="172"/>
        <v>0.93625456171544</v>
      </c>
      <c r="T205" s="4" t="str">
        <f t="shared" si="161"/>
        <v>1+0,000931557923240736i</v>
      </c>
      <c r="U205" s="4">
        <f t="shared" si="173"/>
        <v>1.00000043389999</v>
      </c>
      <c r="V205" s="4">
        <f t="shared" si="174"/>
        <v>0.00093155765377217</v>
      </c>
      <c r="W205" t="str">
        <f t="shared" si="162"/>
        <v>1-0,0815113182835645i</v>
      </c>
      <c r="X205" s="4">
        <f t="shared" si="175"/>
        <v>1.00331654775964</v>
      </c>
      <c r="Y205" s="4">
        <f t="shared" si="176"/>
        <v>-0.0813315115519552</v>
      </c>
      <c r="Z205" t="str">
        <f t="shared" si="163"/>
        <v>0,999996092153786+0,00432509035790341i</v>
      </c>
      <c r="AA205" s="4">
        <f t="shared" si="177"/>
        <v>1.0000054453499</v>
      </c>
      <c r="AB205" s="4">
        <f t="shared" si="178"/>
        <v>0.00432508029077769</v>
      </c>
      <c r="AC205" s="67" t="str">
        <f t="shared" si="179"/>
        <v>4,66179908647122-7,60671557880075i</v>
      </c>
      <c r="AD205" s="68">
        <f t="shared" si="180"/>
        <v>19.0088301864528</v>
      </c>
      <c r="AE205" s="31">
        <f t="shared" si="181"/>
        <v>-58.4978218142944</v>
      </c>
      <c r="AF205" s="32" t="str">
        <f t="shared" si="182"/>
        <v>75,4669735059805</v>
      </c>
      <c r="AG205" s="32" t="str">
        <f t="shared" si="164"/>
        <v>1+0,873335553038191i</v>
      </c>
      <c r="AH205" s="32">
        <f t="shared" si="183"/>
        <v>1.32767277150679</v>
      </c>
      <c r="AI205" s="32">
        <f t="shared" si="184"/>
        <v>0.717886526044587</v>
      </c>
      <c r="AJ205" s="32" t="str">
        <f t="shared" si="165"/>
        <v>1+0,000931557923240736i</v>
      </c>
      <c r="AK205" s="32">
        <f t="shared" si="185"/>
        <v>1.00000043389999</v>
      </c>
      <c r="AL205" s="32">
        <f t="shared" si="186"/>
        <v>0.00093155765377217</v>
      </c>
      <c r="AM205" s="32" t="str">
        <f t="shared" si="166"/>
        <v>1-0,0104151342067241i</v>
      </c>
      <c r="AN205" s="32">
        <f t="shared" si="187"/>
        <v>1.0000542360395</v>
      </c>
      <c r="AO205" s="32">
        <f t="shared" si="188"/>
        <v>-0.0104147576372671</v>
      </c>
      <c r="AP205" s="30" t="str">
        <f t="shared" si="189"/>
        <v>42,4587427630111-37,7964263923682i</v>
      </c>
      <c r="AQ205" s="32">
        <f t="shared" si="190"/>
        <v>35.0937925431153</v>
      </c>
      <c r="AR205" s="31">
        <f t="shared" si="191"/>
        <v>-41.6752154469961</v>
      </c>
      <c r="AS205" t="str">
        <f t="shared" si="167"/>
        <v>-0,000338461538461538</v>
      </c>
      <c r="AT205" t="str">
        <f t="shared" si="168"/>
        <v>0,00081536470347492i</v>
      </c>
      <c r="AU205">
        <f t="shared" si="192"/>
        <v>0.00081536470347492</v>
      </c>
      <c r="AV205">
        <f t="shared" si="193"/>
        <v>1.5707963267949</v>
      </c>
      <c r="AW205" t="str">
        <f t="shared" si="169"/>
        <v>1+0,132330672906134i</v>
      </c>
      <c r="AX205">
        <f t="shared" si="194"/>
        <v>1.00871770431166</v>
      </c>
      <c r="AY205">
        <f t="shared" si="195"/>
        <v>0.131566256488681</v>
      </c>
      <c r="AZ205" t="str">
        <f t="shared" si="170"/>
        <v>1+1,15513182481851i</v>
      </c>
      <c r="BA205">
        <f t="shared" si="196"/>
        <v>1.52785127964359</v>
      </c>
      <c r="BB205">
        <f t="shared" si="197"/>
        <v>0.857256745451806</v>
      </c>
      <c r="BC205" s="30" t="str">
        <f t="shared" si="198"/>
        <v>-0,417262483641296+0,470321101823367i</v>
      </c>
      <c r="BD205" s="32">
        <f t="shared" si="199"/>
        <v>-4.03062288248918</v>
      </c>
      <c r="BE205" s="31">
        <f t="shared" si="200"/>
        <v>131.579002250372</v>
      </c>
      <c r="BF205" s="30" t="str">
        <f t="shared" si="201"/>
        <v>1,63240498722083+5,36653951759165i</v>
      </c>
      <c r="BG205" s="68">
        <f t="shared" si="202"/>
        <v>14.9782073039637</v>
      </c>
      <c r="BH205" s="31">
        <f t="shared" si="203"/>
        <v>73.0811804360778</v>
      </c>
      <c r="BI205" s="30" t="str">
        <f t="shared" si="209"/>
        <v>0,0600164482634824+35,7402734275793i</v>
      </c>
      <c r="BJ205" s="68">
        <f t="shared" si="204"/>
        <v>31.0631696606261</v>
      </c>
      <c r="BK205" s="31">
        <f t="shared" si="210"/>
        <v>89.9037868033761</v>
      </c>
      <c r="BL205" s="32">
        <f t="shared" si="205"/>
        <v>14.9782073039637</v>
      </c>
      <c r="BM205" s="31">
        <f t="shared" si="206"/>
        <v>73.0811804360778</v>
      </c>
      <c r="BO205">
        <f t="shared" si="207"/>
        <v>0</v>
      </c>
      <c r="BP205">
        <f t="shared" si="208"/>
        <v>0</v>
      </c>
    </row>
    <row r="206" spans="14:68">
      <c r="N206" s="7">
        <v>88</v>
      </c>
      <c r="O206" s="18">
        <f t="shared" si="211"/>
        <v>758.577575029184</v>
      </c>
      <c r="P206" s="86" t="str">
        <f t="shared" si="159"/>
        <v>15</v>
      </c>
      <c r="Q206" s="4" t="str">
        <f t="shared" si="160"/>
        <v>1+1,39016601318563i</v>
      </c>
      <c r="R206" s="4">
        <f t="shared" si="171"/>
        <v>1.71247234845309</v>
      </c>
      <c r="S206" s="4">
        <f t="shared" si="172"/>
        <v>0.947209035473718</v>
      </c>
      <c r="T206" s="4" t="str">
        <f t="shared" si="161"/>
        <v>1+0,000953256694755858i</v>
      </c>
      <c r="U206" s="4">
        <f t="shared" si="173"/>
        <v>1.00000045434906</v>
      </c>
      <c r="V206" s="4">
        <f t="shared" si="174"/>
        <v>0.000953256406015094</v>
      </c>
      <c r="W206" t="str">
        <f t="shared" si="162"/>
        <v>1-0,0834099607911376i</v>
      </c>
      <c r="X206" s="4">
        <f t="shared" si="175"/>
        <v>1.00347258136891</v>
      </c>
      <c r="Y206" s="4">
        <f t="shared" si="176"/>
        <v>-0.0832173303982874</v>
      </c>
      <c r="Z206" t="str">
        <f t="shared" si="163"/>
        <v>0,999995907982668+0,00442583465422361i</v>
      </c>
      <c r="AA206" s="4">
        <f t="shared" si="177"/>
        <v>1.00000570198098</v>
      </c>
      <c r="AB206" s="4">
        <f t="shared" si="178"/>
        <v>0.0044258238671067</v>
      </c>
      <c r="AC206" s="67" t="str">
        <f t="shared" si="179"/>
        <v>4,49565645900772-7,55293225290822i</v>
      </c>
      <c r="AD206" s="68">
        <f t="shared" si="180"/>
        <v>18.8794184574987</v>
      </c>
      <c r="AE206" s="31">
        <f t="shared" si="181"/>
        <v>-59.2380453230641</v>
      </c>
      <c r="AF206" s="32" t="str">
        <f t="shared" si="182"/>
        <v>75,4669735059805</v>
      </c>
      <c r="AG206" s="32" t="str">
        <f t="shared" si="164"/>
        <v>1+0,893678151333617i</v>
      </c>
      <c r="AH206" s="32">
        <f t="shared" si="183"/>
        <v>1.34114154292941</v>
      </c>
      <c r="AI206" s="32">
        <f t="shared" si="184"/>
        <v>0.729311368160308</v>
      </c>
      <c r="AJ206" s="32" t="str">
        <f t="shared" si="165"/>
        <v>1+0,000953256694755858i</v>
      </c>
      <c r="AK206" s="32">
        <f t="shared" si="185"/>
        <v>1.00000045434906</v>
      </c>
      <c r="AL206" s="32">
        <f t="shared" si="186"/>
        <v>0.000953256406015094</v>
      </c>
      <c r="AM206" s="32" t="str">
        <f t="shared" si="166"/>
        <v>1-0,0106577338474043i</v>
      </c>
      <c r="AN206" s="32">
        <f t="shared" si="187"/>
        <v>1.00005679203271</v>
      </c>
      <c r="AO206" s="32">
        <f t="shared" si="188"/>
        <v>-0.010657330347199</v>
      </c>
      <c r="AP206" s="30" t="str">
        <f t="shared" si="189"/>
        <v>41,5938603301432-37,9038917268394i</v>
      </c>
      <c r="AQ206" s="32">
        <f t="shared" si="190"/>
        <v>35.006143586735</v>
      </c>
      <c r="AR206" s="31">
        <f t="shared" si="191"/>
        <v>-42.3424658274102</v>
      </c>
      <c r="AS206" t="str">
        <f t="shared" si="167"/>
        <v>-0,000338461538461538</v>
      </c>
      <c r="AT206" t="str">
        <f t="shared" si="168"/>
        <v>0,000834356987218959i</v>
      </c>
      <c r="AU206">
        <f t="shared" si="192"/>
        <v>0.000834356987218959</v>
      </c>
      <c r="AV206">
        <f t="shared" si="193"/>
        <v>1.5707963267949</v>
      </c>
      <c r="AW206" t="str">
        <f t="shared" si="169"/>
        <v>1+0,135413050248644i</v>
      </c>
      <c r="AX206">
        <f t="shared" si="194"/>
        <v>1.00912669877357</v>
      </c>
      <c r="AY206">
        <f t="shared" si="195"/>
        <v>0.134594362863234</v>
      </c>
      <c r="AZ206" t="str">
        <f t="shared" si="170"/>
        <v>1+1,18203830149726i</v>
      </c>
      <c r="BA206">
        <f t="shared" si="196"/>
        <v>1.54829407613881</v>
      </c>
      <c r="BB206">
        <f t="shared" si="197"/>
        <v>0.868631228356419</v>
      </c>
      <c r="BC206" s="30" t="str">
        <f t="shared" si="198"/>
        <v>-0,416924323008515+0,462112539405314i</v>
      </c>
      <c r="BD206" s="32">
        <f t="shared" si="199"/>
        <v>-4.11869654984465</v>
      </c>
      <c r="BE206" s="31">
        <f t="shared" si="200"/>
        <v>132.057214399772</v>
      </c>
      <c r="BF206" s="30" t="str">
        <f t="shared" si="201"/>
        <v>1,61595617769707+5,2265003888389i</v>
      </c>
      <c r="BG206" s="68">
        <f t="shared" si="202"/>
        <v>14.7607219076541</v>
      </c>
      <c r="BH206" s="31">
        <f t="shared" si="203"/>
        <v>72.8191690767075</v>
      </c>
      <c r="BI206" s="30" t="str">
        <f t="shared" si="209"/>
        <v>0,174371599778144+35,024098818433i</v>
      </c>
      <c r="BJ206" s="68">
        <f t="shared" si="204"/>
        <v>30.8874470368903</v>
      </c>
      <c r="BK206" s="31">
        <f t="shared" si="210"/>
        <v>89.7147485723614</v>
      </c>
      <c r="BL206" s="32">
        <f t="shared" si="205"/>
        <v>14.7607219076541</v>
      </c>
      <c r="BM206" s="31">
        <f t="shared" si="206"/>
        <v>72.8191690767075</v>
      </c>
      <c r="BO206">
        <f t="shared" si="207"/>
        <v>0</v>
      </c>
      <c r="BP206">
        <f t="shared" si="208"/>
        <v>0</v>
      </c>
    </row>
    <row r="207" spans="14:68">
      <c r="N207" s="7">
        <v>89</v>
      </c>
      <c r="O207" s="18">
        <f t="shared" si="211"/>
        <v>776.247116628692</v>
      </c>
      <c r="P207" s="86" t="str">
        <f t="shared" si="159"/>
        <v>15</v>
      </c>
      <c r="Q207" s="4" t="str">
        <f t="shared" si="160"/>
        <v>1+1,42254713939973i</v>
      </c>
      <c r="R207" s="4">
        <f t="shared" si="171"/>
        <v>1.73886180124079</v>
      </c>
      <c r="S207" s="4">
        <f t="shared" si="172"/>
        <v>0.958083599994892</v>
      </c>
      <c r="T207" s="4" t="str">
        <f t="shared" si="161"/>
        <v>1+0,000975460895588384i</v>
      </c>
      <c r="U207" s="4">
        <f t="shared" si="173"/>
        <v>1.00000047576187</v>
      </c>
      <c r="V207" s="4">
        <f t="shared" si="174"/>
        <v>0.00097546058619709</v>
      </c>
      <c r="W207" t="str">
        <f t="shared" si="162"/>
        <v>1-0,0853528283639837i</v>
      </c>
      <c r="X207" s="4">
        <f t="shared" si="175"/>
        <v>1.00363594261551</v>
      </c>
      <c r="Y207" s="4">
        <f t="shared" si="176"/>
        <v>-0.0851464615437805</v>
      </c>
      <c r="Z207" t="str">
        <f t="shared" si="163"/>
        <v>0,999995715131832+0,00452892558666034i</v>
      </c>
      <c r="AA207" s="4">
        <f t="shared" si="177"/>
        <v>1.00000597070667</v>
      </c>
      <c r="AB207" s="4">
        <f t="shared" si="178"/>
        <v>0.00452891402805931</v>
      </c>
      <c r="AC207" s="67" t="str">
        <f t="shared" si="179"/>
        <v>4,33192883508781-7,49595167627555i</v>
      </c>
      <c r="AD207" s="68">
        <f t="shared" si="180"/>
        <v>18.7480002309593</v>
      </c>
      <c r="AE207" s="31">
        <f t="shared" si="181"/>
        <v>-59.9762774722541</v>
      </c>
      <c r="AF207" s="32" t="str">
        <f t="shared" si="182"/>
        <v>75,4669735059805</v>
      </c>
      <c r="AG207" s="32" t="str">
        <f t="shared" si="164"/>
        <v>1+0,914494589614111i</v>
      </c>
      <c r="AH207" s="32">
        <f t="shared" si="183"/>
        <v>1.35510160299274</v>
      </c>
      <c r="AI207" s="32">
        <f t="shared" si="184"/>
        <v>0.740765691686357</v>
      </c>
      <c r="AJ207" s="32" t="str">
        <f t="shared" si="165"/>
        <v>1+0,000975460895588384i</v>
      </c>
      <c r="AK207" s="32">
        <f t="shared" si="185"/>
        <v>1.00000047576187</v>
      </c>
      <c r="AL207" s="32">
        <f t="shared" si="186"/>
        <v>0.00097546058619709</v>
      </c>
      <c r="AM207" s="32" t="str">
        <f t="shared" si="166"/>
        <v>1-0,0109059843596423i</v>
      </c>
      <c r="AN207" s="32">
        <f t="shared" si="187"/>
        <v>1.00005946847918</v>
      </c>
      <c r="AO207" s="32">
        <f t="shared" si="188"/>
        <v>-0.0109055520027712</v>
      </c>
      <c r="AP207" s="30" t="str">
        <f t="shared" si="189"/>
        <v>40,7245087351894-37,9917694541856i</v>
      </c>
      <c r="AQ207" s="32">
        <f t="shared" si="190"/>
        <v>34.9162221450095</v>
      </c>
      <c r="AR207" s="31">
        <f t="shared" si="191"/>
        <v>-43.0117000700662</v>
      </c>
      <c r="AS207" t="str">
        <f t="shared" si="167"/>
        <v>-0,000338461538461538</v>
      </c>
      <c r="AT207" t="str">
        <f t="shared" si="168"/>
        <v>0,000853791658081645i</v>
      </c>
      <c r="AU207">
        <f t="shared" si="192"/>
        <v>0.000853791658081645</v>
      </c>
      <c r="AV207">
        <f t="shared" si="193"/>
        <v>1.5707963267949</v>
      </c>
      <c r="AW207" t="str">
        <f t="shared" si="169"/>
        <v>1+0,138567225382799i</v>
      </c>
      <c r="AX207">
        <f t="shared" si="194"/>
        <v>1.00955479096</v>
      </c>
      <c r="AY207">
        <f t="shared" si="195"/>
        <v>0.137690433829719</v>
      </c>
      <c r="AZ207" t="str">
        <f t="shared" si="170"/>
        <v>1+1,2095715105296i</v>
      </c>
      <c r="BA207">
        <f t="shared" si="196"/>
        <v>1.56941493528157</v>
      </c>
      <c r="BB207">
        <f t="shared" si="197"/>
        <v>0.87996240192844</v>
      </c>
      <c r="BC207" s="30" t="str">
        <f t="shared" si="198"/>
        <v>-0,416570812322824+0,454144759201661i</v>
      </c>
      <c r="BD207" s="32">
        <f t="shared" si="199"/>
        <v>-4.20469391887298</v>
      </c>
      <c r="BE207" s="31">
        <f t="shared" si="200"/>
        <v>132.529051022926</v>
      </c>
      <c r="BF207" s="30" t="str">
        <f t="shared" si="201"/>
        <v>1,59969205525225+5,08991745660843i</v>
      </c>
      <c r="BG207" s="68">
        <f t="shared" si="202"/>
        <v>14.5433063120864</v>
      </c>
      <c r="BH207" s="31">
        <f t="shared" si="203"/>
        <v>72.552773550672</v>
      </c>
      <c r="BI207" s="30" t="str">
        <f t="shared" si="209"/>
        <v>0,289121305150346+34,3210844762601i</v>
      </c>
      <c r="BJ207" s="68">
        <f t="shared" si="204"/>
        <v>30.7115282261365</v>
      </c>
      <c r="BK207" s="31">
        <f t="shared" si="210"/>
        <v>89.5173509528598</v>
      </c>
      <c r="BL207" s="32">
        <f t="shared" si="205"/>
        <v>14.5433063120864</v>
      </c>
      <c r="BM207" s="31">
        <f t="shared" si="206"/>
        <v>72.552773550672</v>
      </c>
      <c r="BO207">
        <f t="shared" si="207"/>
        <v>0</v>
      </c>
      <c r="BP207">
        <f t="shared" si="208"/>
        <v>0</v>
      </c>
    </row>
    <row r="208" spans="14:68">
      <c r="N208" s="7">
        <v>90</v>
      </c>
      <c r="O208" s="18">
        <f t="shared" si="211"/>
        <v>794.328234724282</v>
      </c>
      <c r="P208" s="86" t="str">
        <f t="shared" si="159"/>
        <v>15</v>
      </c>
      <c r="Q208" s="4" t="str">
        <f t="shared" si="160"/>
        <v>1+1,45568251893677i</v>
      </c>
      <c r="R208" s="4">
        <f t="shared" si="171"/>
        <v>1.76607236429828</v>
      </c>
      <c r="S208" s="4">
        <f t="shared" si="172"/>
        <v>0.968873733417784</v>
      </c>
      <c r="T208" s="4" t="str">
        <f t="shared" si="161"/>
        <v>1+0,000998182298699502i</v>
      </c>
      <c r="U208" s="4">
        <f t="shared" si="173"/>
        <v>1.00000049818383</v>
      </c>
      <c r="V208" s="4">
        <f t="shared" si="174"/>
        <v>0.000998181967180766</v>
      </c>
      <c r="W208" t="str">
        <f t="shared" si="162"/>
        <v>1-0,0873409511362065i</v>
      </c>
      <c r="X208" s="4">
        <f t="shared" si="175"/>
        <v>1.00380697434585</v>
      </c>
      <c r="Y208" s="4">
        <f t="shared" si="176"/>
        <v>-0.0871198703725585</v>
      </c>
      <c r="Z208" t="str">
        <f t="shared" si="163"/>
        <v>0,999995513192217+0,00463441781539053i</v>
      </c>
      <c r="AA208" s="4">
        <f t="shared" si="177"/>
        <v>1.00000625209698</v>
      </c>
      <c r="AB208" s="4">
        <f t="shared" si="178"/>
        <v>0.00463440543012972</v>
      </c>
      <c r="AC208" s="67" t="str">
        <f t="shared" si="179"/>
        <v>4,17073366638346-7,4359050748294i</v>
      </c>
      <c r="AD208" s="68">
        <f t="shared" si="180"/>
        <v>18.6146094853021</v>
      </c>
      <c r="AE208" s="31">
        <f t="shared" si="181"/>
        <v>-60.71231694779</v>
      </c>
      <c r="AF208" s="32" t="str">
        <f t="shared" si="182"/>
        <v>75,4669735059805</v>
      </c>
      <c r="AG208" s="32" t="str">
        <f t="shared" si="164"/>
        <v>1+0,935795905030784i</v>
      </c>
      <c r="AH208" s="32">
        <f t="shared" si="183"/>
        <v>1.36956707607637</v>
      </c>
      <c r="AI208" s="32">
        <f t="shared" si="184"/>
        <v>0.752243548240026</v>
      </c>
      <c r="AJ208" s="32" t="str">
        <f t="shared" si="165"/>
        <v>1+0,000998182298699502i</v>
      </c>
      <c r="AK208" s="32">
        <f t="shared" si="185"/>
        <v>1.00000049818383</v>
      </c>
      <c r="AL208" s="32">
        <f t="shared" si="186"/>
        <v>0.000998181967180766</v>
      </c>
      <c r="AM208" s="32" t="str">
        <f t="shared" si="166"/>
        <v>1-0,0111600173691454i</v>
      </c>
      <c r="AN208" s="32">
        <f t="shared" si="187"/>
        <v>1.000062271055</v>
      </c>
      <c r="AO208" s="32">
        <f t="shared" si="188"/>
        <v>-0.0111595540919692</v>
      </c>
      <c r="AP208" s="30" t="str">
        <f t="shared" si="189"/>
        <v>39,851581443812-38,0598296621535i</v>
      </c>
      <c r="AQ208" s="32">
        <f t="shared" si="190"/>
        <v>34.8240177182306</v>
      </c>
      <c r="AR208" s="31">
        <f t="shared" si="191"/>
        <v>-43.6825842169115</v>
      </c>
      <c r="AS208" t="str">
        <f t="shared" si="167"/>
        <v>-0,000338461538461538</v>
      </c>
      <c r="AT208" t="str">
        <f t="shared" si="168"/>
        <v>0,000873679020582713i</v>
      </c>
      <c r="AU208">
        <f t="shared" si="192"/>
        <v>0.000873679020582713</v>
      </c>
      <c r="AV208">
        <f t="shared" si="193"/>
        <v>1.5707963267949</v>
      </c>
      <c r="AW208" t="str">
        <f t="shared" si="169"/>
        <v>1+0,141794870694006i</v>
      </c>
      <c r="AX208">
        <f t="shared" si="194"/>
        <v>1.01000286403313</v>
      </c>
      <c r="AY208">
        <f t="shared" si="195"/>
        <v>0.140855873417977</v>
      </c>
      <c r="AZ208" t="str">
        <f t="shared" si="170"/>
        <v>1+1,23774605038738i</v>
      </c>
      <c r="BA208">
        <f t="shared" si="196"/>
        <v>1.59123074544503</v>
      </c>
      <c r="BB208">
        <f t="shared" si="197"/>
        <v>0.891244635919771</v>
      </c>
      <c r="BC208" s="30" t="str">
        <f t="shared" si="198"/>
        <v>-0,416201283151174+0,446413245179791i</v>
      </c>
      <c r="BD208" s="32">
        <f t="shared" si="199"/>
        <v>-4.2886405362442</v>
      </c>
      <c r="BE208" s="31">
        <f t="shared" si="200"/>
        <v>132.994109085397</v>
      </c>
      <c r="BF208" s="30" t="str">
        <f t="shared" si="201"/>
        <v>1,58362181167287+4,95670398432517i</v>
      </c>
      <c r="BG208" s="68">
        <f t="shared" si="202"/>
        <v>14.3259689490578</v>
      </c>
      <c r="BH208" s="31">
        <f t="shared" si="203"/>
        <v>72.2817921376073</v>
      </c>
      <c r="BI208" s="30" t="str">
        <f t="shared" si="209"/>
        <v>0,40413273795394+33,6308237397823i</v>
      </c>
      <c r="BJ208" s="68">
        <f t="shared" si="204"/>
        <v>30.5353771819864</v>
      </c>
      <c r="BK208" s="31">
        <f t="shared" si="210"/>
        <v>89.3115248684858</v>
      </c>
      <c r="BL208" s="32">
        <f t="shared" si="205"/>
        <v>14.3259689490578</v>
      </c>
      <c r="BM208" s="31">
        <f t="shared" si="206"/>
        <v>72.2817921376073</v>
      </c>
      <c r="BO208">
        <f t="shared" si="207"/>
        <v>0</v>
      </c>
      <c r="BP208">
        <f t="shared" si="208"/>
        <v>0</v>
      </c>
    </row>
    <row r="209" spans="14:68">
      <c r="N209" s="7">
        <v>91</v>
      </c>
      <c r="O209" s="18">
        <f t="shared" si="211"/>
        <v>812.8305161641</v>
      </c>
      <c r="P209" s="86" t="str">
        <f t="shared" si="159"/>
        <v>15</v>
      </c>
      <c r="Q209" s="4" t="str">
        <f t="shared" si="160"/>
        <v>1+1,4895897206136i</v>
      </c>
      <c r="R209" s="4">
        <f t="shared" si="171"/>
        <v>1.794123054798</v>
      </c>
      <c r="S209" s="4">
        <f t="shared" si="172"/>
        <v>0.979575106791085</v>
      </c>
      <c r="T209" s="4" t="str">
        <f t="shared" si="161"/>
        <v>1+0,00102143295127789i</v>
      </c>
      <c r="U209" s="4">
        <f t="shared" si="173"/>
        <v>1.0000005216625</v>
      </c>
      <c r="V209" s="4">
        <f t="shared" si="174"/>
        <v>0.00102143259604917</v>
      </c>
      <c r="W209" t="str">
        <f t="shared" si="162"/>
        <v>1-0,0893753832368158i</v>
      </c>
      <c r="X209" s="4">
        <f t="shared" si="175"/>
        <v>1.00398603532556</v>
      </c>
      <c r="Y209" s="4">
        <f t="shared" si="176"/>
        <v>-0.0891385416969433</v>
      </c>
      <c r="Z209" t="str">
        <f t="shared" si="163"/>
        <v>0,999995301735481+0,00474236727379021i</v>
      </c>
      <c r="AA209" s="4">
        <f t="shared" si="177"/>
        <v>1.00000654674877</v>
      </c>
      <c r="AB209" s="4">
        <f t="shared" si="178"/>
        <v>0.0047423540027479</v>
      </c>
      <c r="AC209" s="67" t="str">
        <f t="shared" si="179"/>
        <v>4,01217951747238-7,37292811307878i</v>
      </c>
      <c r="AD209" s="68">
        <f t="shared" si="180"/>
        <v>18.47928175113</v>
      </c>
      <c r="AE209" s="31">
        <f t="shared" si="181"/>
        <v>-61.4459746588956</v>
      </c>
      <c r="AF209" s="32" t="str">
        <f t="shared" si="182"/>
        <v>75,4669735059805</v>
      </c>
      <c r="AG209" s="32" t="str">
        <f t="shared" si="164"/>
        <v>1+0,957593391823026i</v>
      </c>
      <c r="AH209" s="32">
        <f t="shared" si="183"/>
        <v>1.38455231178281</v>
      </c>
      <c r="AI209" s="32">
        <f t="shared" si="184"/>
        <v>0.763738927700806</v>
      </c>
      <c r="AJ209" s="32" t="str">
        <f t="shared" si="165"/>
        <v>1+0,00102143295127789i</v>
      </c>
      <c r="AK209" s="32">
        <f t="shared" si="185"/>
        <v>1.0000005216625</v>
      </c>
      <c r="AL209" s="32">
        <f t="shared" si="186"/>
        <v>0.00102143259604917</v>
      </c>
      <c r="AM209" s="32" t="str">
        <f t="shared" si="166"/>
        <v>1-0,011419967567578i</v>
      </c>
      <c r="AN209" s="32">
        <f t="shared" si="187"/>
        <v>1.00006520570373</v>
      </c>
      <c r="AO209" s="32">
        <f t="shared" si="188"/>
        <v>-0.0114194711588881</v>
      </c>
      <c r="AP209" s="30" t="str">
        <f t="shared" si="189"/>
        <v>38,9759868903667-38,1078934223854i</v>
      </c>
      <c r="AQ209" s="32">
        <f t="shared" si="190"/>
        <v>34.7295221718825</v>
      </c>
      <c r="AR209" s="31">
        <f t="shared" si="191"/>
        <v>-44.3547809319683</v>
      </c>
      <c r="AS209" t="str">
        <f t="shared" si="167"/>
        <v>-0,000338461538461538</v>
      </c>
      <c r="AT209" t="str">
        <f t="shared" si="168"/>
        <v>0,000894029619265003i</v>
      </c>
      <c r="AU209">
        <f t="shared" si="192"/>
        <v>0.000894029619265003</v>
      </c>
      <c r="AV209">
        <f t="shared" si="193"/>
        <v>1.5707963267949</v>
      </c>
      <c r="AW209" t="str">
        <f t="shared" si="169"/>
        <v>1+0,145097697522532i</v>
      </c>
      <c r="AX209">
        <f t="shared" si="194"/>
        <v>1.01047184118428</v>
      </c>
      <c r="AY209">
        <f t="shared" si="195"/>
        <v>0.144092106111091</v>
      </c>
      <c r="AZ209" t="str">
        <f t="shared" si="170"/>
        <v>1+1,26657685958459i</v>
      </c>
      <c r="BA209">
        <f t="shared" si="196"/>
        <v>1.6137586378499</v>
      </c>
      <c r="BB209">
        <f t="shared" si="197"/>
        <v>0.902472424216751</v>
      </c>
      <c r="BC209" s="30" t="str">
        <f t="shared" si="198"/>
        <v>-0,415815040627871+0,438913587100685i</v>
      </c>
      <c r="BD209" s="32">
        <f t="shared" si="199"/>
        <v>-4.37056437402864</v>
      </c>
      <c r="BE209" s="31">
        <f t="shared" si="200"/>
        <v>133.451991493243</v>
      </c>
      <c r="BF209" s="30" t="str">
        <f t="shared" si="201"/>
        <v>1,5677537364828+4,82677450699192i</v>
      </c>
      <c r="BG209" s="68">
        <f t="shared" si="202"/>
        <v>14.1087173771013</v>
      </c>
      <c r="BH209" s="31">
        <f t="shared" si="203"/>
        <v>72.0060168343475</v>
      </c>
      <c r="BI209" s="30" t="str">
        <f t="shared" si="209"/>
        <v>0,519270626540578+32,9529254685119i</v>
      </c>
      <c r="BJ209" s="68">
        <f t="shared" si="204"/>
        <v>30.3589577978539</v>
      </c>
      <c r="BK209" s="31">
        <f t="shared" si="210"/>
        <v>89.0972105612748</v>
      </c>
      <c r="BL209" s="32">
        <f t="shared" si="205"/>
        <v>14.1087173771013</v>
      </c>
      <c r="BM209" s="31">
        <f t="shared" si="206"/>
        <v>72.0060168343475</v>
      </c>
      <c r="BO209">
        <f t="shared" si="207"/>
        <v>0</v>
      </c>
      <c r="BP209">
        <f t="shared" si="208"/>
        <v>0</v>
      </c>
    </row>
    <row r="210" spans="14:68">
      <c r="N210" s="7">
        <v>92</v>
      </c>
      <c r="O210" s="18">
        <f t="shared" si="211"/>
        <v>831.763771102671</v>
      </c>
      <c r="P210" s="86" t="str">
        <f t="shared" si="159"/>
        <v>15</v>
      </c>
      <c r="Q210" s="4" t="str">
        <f t="shared" si="160"/>
        <v>1+1,52428672247734i</v>
      </c>
      <c r="R210" s="4">
        <f t="shared" si="171"/>
        <v>1.82303319013141</v>
      </c>
      <c r="S210" s="4">
        <f t="shared" si="172"/>
        <v>0.990183589989271</v>
      </c>
      <c r="T210" s="4" t="str">
        <f t="shared" si="161"/>
        <v>1+0,00104522518112732i</v>
      </c>
      <c r="U210" s="4">
        <f t="shared" si="173"/>
        <v>1.00000054624769</v>
      </c>
      <c r="V210" s="4">
        <f t="shared" si="174"/>
        <v>0.0010452248004929</v>
      </c>
      <c r="W210" t="str">
        <f t="shared" si="162"/>
        <v>1-0,0914572033486404i</v>
      </c>
      <c r="X210" s="4">
        <f t="shared" si="175"/>
        <v>1.00417350096702</v>
      </c>
      <c r="Y210" s="4">
        <f t="shared" si="176"/>
        <v>-0.0912034799974931</v>
      </c>
      <c r="Z210" t="str">
        <f t="shared" si="163"/>
        <v>0,999995080313096+0,00485283119809111i</v>
      </c>
      <c r="AA210" s="4">
        <f t="shared" si="177"/>
        <v>1.00000685528702</v>
      </c>
      <c r="AB210" s="4">
        <f t="shared" si="178"/>
        <v>0.00485281697791728</v>
      </c>
      <c r="AC210" s="67" t="str">
        <f t="shared" si="179"/>
        <v>3,85636592128803-7,30716020598478i</v>
      </c>
      <c r="AD210" s="68">
        <f t="shared" si="180"/>
        <v>18.3420540046304</v>
      </c>
      <c r="AE210" s="31">
        <f t="shared" si="181"/>
        <v>-62.1770740921331</v>
      </c>
      <c r="AF210" s="32" t="str">
        <f t="shared" si="182"/>
        <v>75,4669735059805</v>
      </c>
      <c r="AG210" s="32" t="str">
        <f t="shared" si="164"/>
        <v>1+0,979898607306861i</v>
      </c>
      <c r="AH210" s="32">
        <f t="shared" si="183"/>
        <v>1.40007188408379</v>
      </c>
      <c r="AI210" s="32">
        <f t="shared" si="184"/>
        <v>0.775245773779837</v>
      </c>
      <c r="AJ210" s="32" t="str">
        <f t="shared" si="165"/>
        <v>1+0,00104522518112732i</v>
      </c>
      <c r="AK210" s="32">
        <f t="shared" si="185"/>
        <v>1.00000054624769</v>
      </c>
      <c r="AL210" s="32">
        <f t="shared" si="186"/>
        <v>0.0010452248004929</v>
      </c>
      <c r="AM210" s="32" t="str">
        <f t="shared" si="166"/>
        <v>1-0,0116859727839761i</v>
      </c>
      <c r="AN210" s="32">
        <f t="shared" si="187"/>
        <v>1.00006827864897</v>
      </c>
      <c r="AO210" s="32">
        <f t="shared" si="188"/>
        <v>-0.011685440874443</v>
      </c>
      <c r="AP210" s="30" t="str">
        <f t="shared" si="189"/>
        <v>38,098644735172-38,1358339337019i</v>
      </c>
      <c r="AQ210" s="32">
        <f t="shared" si="190"/>
        <v>34.6327297711152</v>
      </c>
      <c r="AR210" s="31">
        <f t="shared" si="191"/>
        <v>-45.027950397083</v>
      </c>
      <c r="AS210" t="str">
        <f t="shared" si="167"/>
        <v>-0,000338461538461538</v>
      </c>
      <c r="AT210" t="str">
        <f t="shared" si="168"/>
        <v>0,000914854244285308i</v>
      </c>
      <c r="AU210">
        <f t="shared" si="192"/>
        <v>0.000914854244285308</v>
      </c>
      <c r="AV210">
        <f t="shared" si="193"/>
        <v>1.5707963267949</v>
      </c>
      <c r="AW210" t="str">
        <f t="shared" si="169"/>
        <v>1+0,148477457070879i</v>
      </c>
      <c r="AX210">
        <f t="shared" si="194"/>
        <v>1.01096268737191</v>
      </c>
      <c r="AY210">
        <f t="shared" si="195"/>
        <v>0.147400576511155</v>
      </c>
      <c r="AZ210" t="str">
        <f t="shared" si="170"/>
        <v>1+1,29607922459787i</v>
      </c>
      <c r="BA210">
        <f t="shared" si="196"/>
        <v>1.63701599150229</v>
      </c>
      <c r="BB210">
        <f t="shared" si="197"/>
        <v>0.913640397284734</v>
      </c>
      <c r="BC210" s="30" t="str">
        <f t="shared" si="198"/>
        <v>-0,415411362664231+0,4316414769463i</v>
      </c>
      <c r="BD210" s="32">
        <f t="shared" si="199"/>
        <v>-4.45049576159474</v>
      </c>
      <c r="BE210" s="31">
        <f t="shared" si="200"/>
        <v>133.902307825187</v>
      </c>
      <c r="BF210" s="30" t="str">
        <f t="shared" si="201"/>
        <v>1,55209520130034+4,70004486028412i</v>
      </c>
      <c r="BG210" s="68">
        <f t="shared" si="202"/>
        <v>13.8915582430356</v>
      </c>
      <c r="BH210" s="31">
        <f t="shared" si="203"/>
        <v>71.7252337330537</v>
      </c>
      <c r="BI210" s="30" t="str">
        <f t="shared" si="209"/>
        <v>0,634397758623685+32,2870140238779i</v>
      </c>
      <c r="BJ210" s="68">
        <f t="shared" si="204"/>
        <v>30.1822340095205</v>
      </c>
      <c r="BK210" s="31">
        <f t="shared" si="210"/>
        <v>88.8743574281038</v>
      </c>
      <c r="BL210" s="32">
        <f t="shared" si="205"/>
        <v>13.8915582430356</v>
      </c>
      <c r="BM210" s="31">
        <f t="shared" si="206"/>
        <v>71.7252337330537</v>
      </c>
      <c r="BO210">
        <f t="shared" si="207"/>
        <v>0</v>
      </c>
      <c r="BP210">
        <f t="shared" si="208"/>
        <v>0</v>
      </c>
    </row>
    <row r="211" spans="14:68">
      <c r="N211" s="7">
        <v>93</v>
      </c>
      <c r="O211" s="18">
        <f t="shared" si="211"/>
        <v>851.138038202378</v>
      </c>
      <c r="P211" s="86" t="str">
        <f t="shared" ref="P211:P274" si="212">COMPLEX(Adc,0)</f>
        <v>15</v>
      </c>
      <c r="Q211" s="4" t="str">
        <f t="shared" ref="Q211:Q274" si="213">IMSUM(COMPLEX(1,0),IMDIV(COMPLEX(0,2*PI()*O211),COMPLEX(wp_lf,0)))</f>
        <v>1+1,55979192133766i</v>
      </c>
      <c r="R211" s="4">
        <f t="shared" si="171"/>
        <v>1.85282239782183</v>
      </c>
      <c r="S211" s="4">
        <f t="shared" si="172"/>
        <v>1.00069525663692</v>
      </c>
      <c r="T211" s="4" t="str">
        <f t="shared" ref="T211:T274" si="214">IMSUM(COMPLEX(1,0),IMDIV(COMPLEX(0,2*PI()*O211),COMPLEX(wz_esr,0)))</f>
        <v>1+0,00106957160320297i</v>
      </c>
      <c r="U211" s="4">
        <f t="shared" si="173"/>
        <v>1.00000057199154</v>
      </c>
      <c r="V211" s="4">
        <f t="shared" si="174"/>
        <v>0.00106957119534586</v>
      </c>
      <c r="W211" t="str">
        <f t="shared" ref="W211:W274" si="215">IMSUB(COMPLEX(1,0),IMDIV(COMPLEX(0,2*PI()*O211),COMPLEX(wz_rhp,0)))</f>
        <v>1-0,0935875152802598i</v>
      </c>
      <c r="X211" s="4">
        <f t="shared" si="175"/>
        <v>1.00436976408907</v>
      </c>
      <c r="Y211" s="4">
        <f t="shared" si="176"/>
        <v>-0.0933157096541807</v>
      </c>
      <c r="Z211" t="str">
        <f t="shared" ref="Z211:Z274" si="216">IMSUM(COMPLEX(1,0),IMDIV(COMPLEX(0,2*PI()*O211),COMPLEX(Q*(wsl/2),0)),IMDIV(IMPOWER(COMPLEX(0,2*PI()*O211),2),IMPOWER(COMPLEX(wsl/2,0),2)))</f>
        <v>0,999994848455395+0,00496586815772805i</v>
      </c>
      <c r="AA211" s="4">
        <f t="shared" si="177"/>
        <v>1.00000717836618</v>
      </c>
      <c r="AB211" s="4">
        <f t="shared" si="178"/>
        <v>0.004965852920542</v>
      </c>
      <c r="AC211" s="67" t="str">
        <f t="shared" si="179"/>
        <v>3,70338329396527-7,23874383504058i</v>
      </c>
      <c r="AD211" s="68">
        <f t="shared" si="180"/>
        <v>18.2029645598263</v>
      </c>
      <c r="AE211" s="31">
        <f t="shared" si="181"/>
        <v>-62.9054516081567</v>
      </c>
      <c r="AF211" s="32" t="str">
        <f t="shared" si="182"/>
        <v>75,4669735059805</v>
      </c>
      <c r="AG211" s="32" t="str">
        <f t="shared" ref="AG211:AG274" si="217">IMSUM(COMPLEX(1,0),IMDIV(COMPLEX(0,2*PI()*O211),COMPLEX(wp_lf_DCM,0)))</f>
        <v>1+1,00272337800278i</v>
      </c>
      <c r="AH211" s="32">
        <f t="shared" si="183"/>
        <v>1.41614059075831</v>
      </c>
      <c r="AI211" s="32">
        <f t="shared" si="184"/>
        <v>0.786757999885124</v>
      </c>
      <c r="AJ211" s="32" t="str">
        <f t="shared" ref="AJ211:AJ274" si="218">IMSUM(COMPLEX(1,0),IMDIV(COMPLEX(0,2*PI()*O211),COMPLEX(wz1_dcm,0)))</f>
        <v>1+0,00106957160320297i</v>
      </c>
      <c r="AK211" s="32">
        <f t="shared" si="185"/>
        <v>1.00000057199154</v>
      </c>
      <c r="AL211" s="32">
        <f t="shared" si="186"/>
        <v>0.00106957119534586</v>
      </c>
      <c r="AM211" s="32" t="str">
        <f t="shared" ref="AM211:AM274" si="219">IMSUB(COMPLEX(1,0),IMDIV(COMPLEX(0,2*PI()*O211),COMPLEX(wz2_dcm,0)))</f>
        <v>1-0,0119581740578263i</v>
      </c>
      <c r="AN211" s="32">
        <f t="shared" si="187"/>
        <v>1.00007149640753</v>
      </c>
      <c r="AO211" s="32">
        <f t="shared" si="188"/>
        <v>-0.0119576041086936</v>
      </c>
      <c r="AP211" s="30" t="str">
        <f t="shared" si="189"/>
        <v>37,2204820217335-38,1435773366846i</v>
      </c>
      <c r="AQ211" s="32">
        <f t="shared" si="190"/>
        <v>34.5336372052722</v>
      </c>
      <c r="AR211" s="31">
        <f t="shared" si="191"/>
        <v>-45.7017512247061</v>
      </c>
      <c r="AS211" t="str">
        <f t="shared" ref="AS211:AS274" si="220">COMPLEX(Adc_ea,0)</f>
        <v>-0,000338461538461538</v>
      </c>
      <c r="AT211" t="str">
        <f t="shared" ref="AT211:AT274" si="221">COMPLEX(0,2*PI()*O211*wp0_ea)</f>
        <v>0,000936163937135461i</v>
      </c>
      <c r="AU211">
        <f t="shared" si="192"/>
        <v>0.000936163937135461</v>
      </c>
      <c r="AV211">
        <f t="shared" si="193"/>
        <v>1.5707963267949</v>
      </c>
      <c r="AW211" t="str">
        <f t="shared" ref="AW211:AW274" si="222">IMSUM(COMPLEX(1,0),IMDIV(COMPLEX(0,2*PI()*O211),COMPLEX(wp1_ea,0)))</f>
        <v>1+0,151935941332298i</v>
      </c>
      <c r="AX211">
        <f t="shared" si="194"/>
        <v>1.01147641112808</v>
      </c>
      <c r="AY211">
        <f t="shared" si="195"/>
        <v>0.150782748946888</v>
      </c>
      <c r="AZ211" t="str">
        <f t="shared" ref="AZ211:AZ274" si="223">IMSUM(COMPLEX(1,0),IMDIV(COMPLEX(0,2*PI()*O211),COMPLEX(wz_ea,0)))</f>
        <v>1+1,32626878797168i</v>
      </c>
      <c r="BA211">
        <f t="shared" si="196"/>
        <v>1.66102043875079</v>
      </c>
      <c r="BB211">
        <f t="shared" si="197"/>
        <v>0.924743333799215</v>
      </c>
      <c r="BC211" s="30" t="str">
        <f t="shared" si="198"/>
        <v>-0,414989499160256+0,42459270533092i</v>
      </c>
      <c r="BD211" s="32">
        <f t="shared" si="199"/>
        <v>-4.52846731112284</v>
      </c>
      <c r="BE211" s="31">
        <f t="shared" si="200"/>
        <v>134.344675021515</v>
      </c>
      <c r="BF211" s="30" t="str">
        <f t="shared" si="201"/>
        <v>1,53665264975629+4,57643221031493i</v>
      </c>
      <c r="BG211" s="68">
        <f t="shared" si="202"/>
        <v>13.6744972487034</v>
      </c>
      <c r="BH211" s="31">
        <f t="shared" si="203"/>
        <v>71.4392234133585</v>
      </c>
      <c r="BI211" s="30" t="str">
        <f t="shared" si="209"/>
        <v>0,749375499679582+31,6327292104599i</v>
      </c>
      <c r="BJ211" s="68">
        <f t="shared" si="204"/>
        <v>30.0051698941493</v>
      </c>
      <c r="BK211" s="31">
        <f t="shared" si="210"/>
        <v>88.6429237968091</v>
      </c>
      <c r="BL211" s="32">
        <f t="shared" si="205"/>
        <v>13.6744972487034</v>
      </c>
      <c r="BM211" s="31">
        <f t="shared" si="206"/>
        <v>71.4392234133585</v>
      </c>
      <c r="BO211">
        <f t="shared" si="207"/>
        <v>0</v>
      </c>
      <c r="BP211">
        <f t="shared" si="208"/>
        <v>0</v>
      </c>
    </row>
    <row r="212" spans="14:68">
      <c r="N212" s="7">
        <v>94</v>
      </c>
      <c r="O212" s="18">
        <f t="shared" si="211"/>
        <v>870.963589956081</v>
      </c>
      <c r="P212" s="86" t="str">
        <f t="shared" si="212"/>
        <v>15</v>
      </c>
      <c r="Q212" s="4" t="str">
        <f t="shared" si="213"/>
        <v>1+1,59612414252096i</v>
      </c>
      <c r="R212" s="4">
        <f t="shared" ref="R212:R275" si="224">IMABS(Q212)</f>
        <v>1.88351062602213</v>
      </c>
      <c r="S212" s="4">
        <f t="shared" ref="S212:S275" si="225">IMARGUMENT(Q212)</f>
        <v>1.01110638805142</v>
      </c>
      <c r="T212" s="4" t="str">
        <f t="shared" si="214"/>
        <v>1+0,00109448512630009i</v>
      </c>
      <c r="U212" s="4">
        <f t="shared" ref="U212:U275" si="226">IMABS(T212)</f>
        <v>1.00000059894867</v>
      </c>
      <c r="V212" s="4">
        <f t="shared" ref="V212:V275" si="227">IMARGUMENT(T212)</f>
        <v>0.00109448468927334</v>
      </c>
      <c r="W212" t="str">
        <f t="shared" si="215"/>
        <v>1-0,0957674485512576i</v>
      </c>
      <c r="X212" s="4">
        <f t="shared" ref="X212:X275" si="228">IMABS(W212)</f>
        <v>1.00457523571011</v>
      </c>
      <c r="Y212" s="4">
        <f t="shared" ref="Y212:Y275" si="229">IMARGUMENT(W212)</f>
        <v>-0.0954762751675603</v>
      </c>
      <c r="Z212" t="str">
        <f t="shared" si="216"/>
        <v>0,999994605670578+0,00508153808639324i</v>
      </c>
      <c r="AA212" s="4">
        <f t="shared" ref="AA212:AA275" si="230">IMABS(Z212)</f>
        <v>1.00000751667154</v>
      </c>
      <c r="AB212" s="4">
        <f t="shared" ref="AB212:AB275" si="231">IMARGUMENT(Z212)</f>
        <v>0.00508152175945952</v>
      </c>
      <c r="AC212" s="67" t="str">
        <f t="shared" ref="AC212:AC275" si="232">(IMDIV(IMPRODUCT(P212,T212,W212),IMPRODUCT(Q212,Z212)))</f>
        <v>3,55331290702379-7,16782387404009i</v>
      </c>
      <c r="AD212" s="68">
        <f t="shared" ref="AD212:AD275" si="233">20*LOG(IMABS(AC212))</f>
        <v>18.0620529603728</v>
      </c>
      <c r="AE212" s="31">
        <f t="shared" ref="AE212:AE275" si="234">(180/PI())*IMARGUMENT(AC212)</f>
        <v>-63.630956681678</v>
      </c>
      <c r="AF212" s="32" t="str">
        <f t="shared" ref="AF212:AF275" si="235">COMPLEX($B$68,0)</f>
        <v>75,4669735059805</v>
      </c>
      <c r="AG212" s="32" t="str">
        <f t="shared" si="217"/>
        <v>1+1,02607980590633i</v>
      </c>
      <c r="AH212" s="32">
        <f t="shared" ref="AH212:AH275" si="236">IMABS(AG212)</f>
        <v>1.43277345316305</v>
      </c>
      <c r="AI212" s="32">
        <f t="shared" ref="AI212:AI275" si="237">IMARGUMENT(AG212)</f>
        <v>0.798269505181752</v>
      </c>
      <c r="AJ212" s="32" t="str">
        <f t="shared" si="218"/>
        <v>1+0,00109448512630009i</v>
      </c>
      <c r="AK212" s="32">
        <f t="shared" ref="AK212:AK275" si="238">IMABS(AJ212)</f>
        <v>1.00000059894867</v>
      </c>
      <c r="AL212" s="32">
        <f t="shared" ref="AL212:AL275" si="239">IMARGUMENT(AJ212)</f>
        <v>0.00109448468927334</v>
      </c>
      <c r="AM212" s="32" t="str">
        <f t="shared" si="219"/>
        <v>1-0,0122367157138472i</v>
      </c>
      <c r="AN212" s="32">
        <f t="shared" ref="AN212:AN275" si="240">IMABS(AM212)</f>
        <v>1.00007486580329</v>
      </c>
      <c r="AO212" s="32">
        <f t="shared" ref="AO212:AO275" si="241">IMARGUMENT(AM212)</f>
        <v>-0.0122361050048176</v>
      </c>
      <c r="AP212" s="30" t="str">
        <f t="shared" ref="AP212:AP275" si="242">(IMDIV(IMPRODUCT(AF212,AJ212,AM212),IMPRODUCT(AG212)))</f>
        <v>36,3424292678297-38,1311031898472i</v>
      </c>
      <c r="AQ212" s="32">
        <f t="shared" ref="AQ212:AQ275" si="243">20*LOG(IMABS(AP212))</f>
        <v>34.4322436022543</v>
      </c>
      <c r="AR212" s="31">
        <f t="shared" ref="AR212:AR275" si="244">(180/PI())*IMARGUMENT(AP212)</f>
        <v>-46.3758413819289</v>
      </c>
      <c r="AS212" t="str">
        <f t="shared" si="220"/>
        <v>-0,000338461538461538</v>
      </c>
      <c r="AT212" t="str">
        <f t="shared" si="221"/>
        <v>0,000957969996496677i</v>
      </c>
      <c r="AU212">
        <f t="shared" ref="AU212:AU275" si="245">IMABS(AT212)</f>
        <v>0.000957969996496677</v>
      </c>
      <c r="AV212">
        <f t="shared" ref="AV212:AV275" si="246">IMARGUMENT(AT212)</f>
        <v>1.5707963267949</v>
      </c>
      <c r="AW212" t="str">
        <f t="shared" si="222"/>
        <v>1+0,15547498404092i</v>
      </c>
      <c r="AX212">
        <f t="shared" ref="AX212:AX275" si="247">IMABS(AW212)</f>
        <v>1.01201406643511</v>
      </c>
      <c r="AY212">
        <f t="shared" ref="AY212:AY275" si="248">IMARGUMENT(AW212)</f>
        <v>0.154240107018974</v>
      </c>
      <c r="AZ212" t="str">
        <f t="shared" si="223"/>
        <v>1+1,35716155661211i</v>
      </c>
      <c r="BA212">
        <f t="shared" ref="BA212:BA275" si="249">IMABS(AZ212)</f>
        <v>1.68578987146851</v>
      </c>
      <c r="BB212">
        <f t="shared" ref="BB212:BB275" si="250">IMARGUMENT(AZ212)</f>
        <v>0.935776171410407</v>
      </c>
      <c r="BC212" s="30" t="str">
        <f t="shared" ref="BC212:BC275" si="251">IMPRODUCT(AS212,IMDIV(AZ212,IMPRODUCT(AT212,AW212)))</f>
        <v>-0,414548671221455+0,417763157891606i</v>
      </c>
      <c r="BD212" s="32">
        <f t="shared" ref="BD212:BD275" si="252">20*LOG(IMABS(BC212))</f>
        <v>-4.60451383744171</v>
      </c>
      <c r="BE212" s="31">
        <f t="shared" ref="BE212:BE275" si="253">(180/PI())*IMARGUMENT(BC212)</f>
        <v>134.778718026894</v>
      </c>
      <c r="BF212" s="30" t="str">
        <f t="shared" ref="BF212:BF275" si="254">IMPRODUCT(AC212,BC212)</f>
        <v>1,52143159278908+4,455855083548i</v>
      </c>
      <c r="BG212" s="68">
        <f t="shared" ref="BG212:BG275" si="255">20*LOG(IMABS(BF212))</f>
        <v>13.4575391229311</v>
      </c>
      <c r="BH212" s="31">
        <f t="shared" ref="BH212:BH275" si="256">(180/PI())*IMARGUMENT(BF212)</f>
        <v>71.1477613452156</v>
      </c>
      <c r="BI212" s="30" t="str">
        <f t="shared" si="209"/>
        <v>0,86406432054274+30,9897261759402i</v>
      </c>
      <c r="BJ212" s="68">
        <f t="shared" ref="BJ212:BJ275" si="257">20*LOG(IMABS(BI212))</f>
        <v>29.8277297648126</v>
      </c>
      <c r="BK212" s="31">
        <f t="shared" si="210"/>
        <v>88.4028766449647</v>
      </c>
      <c r="BL212" s="32">
        <f t="shared" ref="BL212:BL275" si="258">IF($B$31=0,BJ212,BG212)</f>
        <v>13.4575391229311</v>
      </c>
      <c r="BM212" s="31">
        <f t="shared" ref="BM212:BM275" si="259">IF($B$31=0,BK212,BH212)</f>
        <v>71.1477613452156</v>
      </c>
      <c r="BO212">
        <f t="shared" ref="BO212:BO275" si="260">SUM((BL213&lt;0)*(BL212&gt;0))*O212</f>
        <v>0</v>
      </c>
      <c r="BP212">
        <f t="shared" ref="BP212:BP275" si="261">IF(BO212&gt;0,BM212,0)</f>
        <v>0</v>
      </c>
    </row>
    <row r="213" spans="14:68">
      <c r="N213" s="7">
        <v>95</v>
      </c>
      <c r="O213" s="18">
        <f t="shared" si="211"/>
        <v>891.250938133747</v>
      </c>
      <c r="P213" s="86" t="str">
        <f t="shared" si="212"/>
        <v>15</v>
      </c>
      <c r="Q213" s="4" t="str">
        <f t="shared" si="213"/>
        <v>1+1,63330264985183i</v>
      </c>
      <c r="R213" s="4">
        <f t="shared" si="224"/>
        <v>1.9151181545829</v>
      </c>
      <c r="S213" s="4">
        <f t="shared" si="225"/>
        <v>1.02141347622186</v>
      </c>
      <c r="T213" s="4" t="str">
        <f t="shared" si="214"/>
        <v>1+0,0011199789598984i</v>
      </c>
      <c r="U213" s="4">
        <f t="shared" si="226"/>
        <v>1.00000062717624</v>
      </c>
      <c r="V213" s="4">
        <f t="shared" si="227"/>
        <v>0.00111997849161581</v>
      </c>
      <c r="W213" t="str">
        <f t="shared" si="215"/>
        <v>1-0,0979981589911097i</v>
      </c>
      <c r="X213" s="4">
        <f t="shared" si="228"/>
        <v>1.00479034587602</v>
      </c>
      <c r="Y213" s="4">
        <f t="shared" si="229"/>
        <v>-0.0976862413686899</v>
      </c>
      <c r="Z213" t="str">
        <f t="shared" si="216"/>
        <v>0,999994351443664+0,00519990231381397i</v>
      </c>
      <c r="AA213" s="4">
        <f t="shared" si="230"/>
        <v>1.00000787092068</v>
      </c>
      <c r="AB213" s="4">
        <f t="shared" si="231"/>
        <v>0.00519988481919524</v>
      </c>
      <c r="AC213" s="67" t="str">
        <f t="shared" si="232"/>
        <v>3,40622691431212-7,09454692961198i</v>
      </c>
      <c r="AD213" s="68">
        <f t="shared" si="233"/>
        <v>17.9193598716102</v>
      </c>
      <c r="AE213" s="31">
        <f t="shared" si="234"/>
        <v>-64.3534520856001</v>
      </c>
      <c r="AF213" s="32" t="str">
        <f t="shared" si="235"/>
        <v>75,4669735059805</v>
      </c>
      <c r="AG213" s="32" t="str">
        <f t="shared" si="217"/>
        <v>1+1,04998027490475i</v>
      </c>
      <c r="AH213" s="32">
        <f t="shared" si="236"/>
        <v>1.44998571637415</v>
      </c>
      <c r="AI213" s="32">
        <f t="shared" si="237"/>
        <v>0.809774190743979</v>
      </c>
      <c r="AJ213" s="32" t="str">
        <f t="shared" si="218"/>
        <v>1+0,0011199789598984i</v>
      </c>
      <c r="AK213" s="32">
        <f t="shared" si="238"/>
        <v>1.00000062717624</v>
      </c>
      <c r="AL213" s="32">
        <f t="shared" si="239"/>
        <v>0.00111997849161581</v>
      </c>
      <c r="AM213" s="32" t="str">
        <f t="shared" si="219"/>
        <v>1-0,0125217454385116i</v>
      </c>
      <c r="AN213" s="32">
        <f t="shared" si="240"/>
        <v>1.00007839398161</v>
      </c>
      <c r="AO213" s="32">
        <f t="shared" si="241"/>
        <v>-0.0125210910547669</v>
      </c>
      <c r="AP213" s="30" t="str">
        <f t="shared" si="242"/>
        <v>35,4654165253839-38,098444601697i</v>
      </c>
      <c r="AQ213" s="32">
        <f t="shared" si="243"/>
        <v>34.3285505325933</v>
      </c>
      <c r="AR213" s="31">
        <f t="shared" si="244"/>
        <v>-47.0498791198739</v>
      </c>
      <c r="AS213" t="str">
        <f t="shared" si="220"/>
        <v>-0,000338461538461538</v>
      </c>
      <c r="AT213" t="str">
        <f t="shared" si="221"/>
        <v>0,000980283984230269i</v>
      </c>
      <c r="AU213">
        <f t="shared" si="245"/>
        <v>0.000980283984230269</v>
      </c>
      <c r="AV213">
        <f t="shared" si="246"/>
        <v>1.5707963267949</v>
      </c>
      <c r="AW213" t="str">
        <f t="shared" si="222"/>
        <v>1+0,159096461644035i</v>
      </c>
      <c r="AX213">
        <f t="shared" si="247"/>
        <v>1.01257675467475</v>
      </c>
      <c r="AY213">
        <f t="shared" si="248"/>
        <v>0.157774153078871</v>
      </c>
      <c r="AZ213" t="str">
        <f t="shared" si="223"/>
        <v>1+1,38877391027401i</v>
      </c>
      <c r="BA213">
        <f t="shared" si="249"/>
        <v>1.71134244786301</v>
      </c>
      <c r="BB213">
        <f t="shared" si="250"/>
        <v>0.946734016597502</v>
      </c>
      <c r="BC213" s="30" t="str">
        <f t="shared" si="251"/>
        <v>-0,414088070384427+0,411148811652801i</v>
      </c>
      <c r="BD213" s="32">
        <f t="shared" si="252"/>
        <v>-4.67867227292342</v>
      </c>
      <c r="BE213" s="31">
        <f t="shared" si="253"/>
        <v>135.204070384835</v>
      </c>
      <c r="BF213" s="30" t="str">
        <f t="shared" si="254"/>
        <v>1,50643660908599+4,338233396374i</v>
      </c>
      <c r="BG213" s="68">
        <f t="shared" si="255"/>
        <v>13.2406875986868</v>
      </c>
      <c r="BH213" s="31">
        <f t="shared" si="256"/>
        <v>70.8506182992349</v>
      </c>
      <c r="BI213" s="30" t="str">
        <f t="shared" si="209"/>
        <v>0,978324329431601+30,3576752689479i</v>
      </c>
      <c r="BJ213" s="68">
        <f t="shared" si="257"/>
        <v>29.6498782596699</v>
      </c>
      <c r="BK213" s="31">
        <f t="shared" si="210"/>
        <v>88.1541912649611</v>
      </c>
      <c r="BL213" s="32">
        <f t="shared" si="258"/>
        <v>13.2406875986868</v>
      </c>
      <c r="BM213" s="31">
        <f t="shared" si="259"/>
        <v>70.8506182992349</v>
      </c>
      <c r="BO213">
        <f t="shared" si="260"/>
        <v>0</v>
      </c>
      <c r="BP213">
        <f t="shared" si="261"/>
        <v>0</v>
      </c>
    </row>
    <row r="214" spans="14:68">
      <c r="N214" s="7">
        <v>96</v>
      </c>
      <c r="O214" s="18">
        <f t="shared" si="211"/>
        <v>912.01083935591</v>
      </c>
      <c r="P214" s="86" t="str">
        <f t="shared" si="212"/>
        <v>15</v>
      </c>
      <c r="Q214" s="4" t="str">
        <f t="shared" si="213"/>
        <v>1+1,67134715586696i</v>
      </c>
      <c r="R214" s="4">
        <f t="shared" si="224"/>
        <v>1.94766560667497</v>
      </c>
      <c r="S214" s="4">
        <f t="shared" si="225"/>
        <v>1.03161322584879</v>
      </c>
      <c r="T214" s="4" t="str">
        <f t="shared" si="214"/>
        <v>1+0,00114606662116591i</v>
      </c>
      <c r="U214" s="4">
        <f t="shared" si="226"/>
        <v>1.00000065673413</v>
      </c>
      <c r="V214" s="4">
        <f t="shared" si="227"/>
        <v>0.00114606611939209</v>
      </c>
      <c r="W214" t="str">
        <f t="shared" si="215"/>
        <v>1-0,100280829352018i</v>
      </c>
      <c r="X214" s="4">
        <f t="shared" si="228"/>
        <v>1.00501554452433</v>
      </c>
      <c r="Y214" s="4">
        <f t="shared" si="229"/>
        <v>-0.0999466936164793</v>
      </c>
      <c r="Z214" t="str">
        <f t="shared" si="216"/>
        <v>0,999994085235405+0,0053210235982703i</v>
      </c>
      <c r="AA214" s="4">
        <f t="shared" si="230"/>
        <v>1.000008241865</v>
      </c>
      <c r="AB214" s="4">
        <f t="shared" si="231"/>
        <v>0.00532100485245526</v>
      </c>
      <c r="AC214" s="67" t="str">
        <f t="shared" si="232"/>
        <v>3,26218843068741-7,01906070114478i</v>
      </c>
      <c r="AD214" s="68">
        <f t="shared" si="233"/>
        <v>17.7749269735488</v>
      </c>
      <c r="AE214" s="31">
        <f t="shared" si="234"/>
        <v>-65.0728140206538</v>
      </c>
      <c r="AF214" s="32" t="str">
        <f t="shared" si="235"/>
        <v>75,4669735059805</v>
      </c>
      <c r="AG214" s="32" t="str">
        <f t="shared" si="217"/>
        <v>1+1,07443745734305i</v>
      </c>
      <c r="AH214" s="32">
        <f t="shared" si="236"/>
        <v>1.46779284973793</v>
      </c>
      <c r="AI214" s="32">
        <f t="shared" si="237"/>
        <v>0.821265975695001</v>
      </c>
      <c r="AJ214" s="32" t="str">
        <f t="shared" si="218"/>
        <v>1+0,00114606662116591i</v>
      </c>
      <c r="AK214" s="32">
        <f t="shared" si="238"/>
        <v>1.00000065673413</v>
      </c>
      <c r="AL214" s="32">
        <f t="shared" si="239"/>
        <v>0.00114606611939209</v>
      </c>
      <c r="AM214" s="32" t="str">
        <f t="shared" si="219"/>
        <v>1-0,0128134143583524i</v>
      </c>
      <c r="AN214" s="32">
        <f t="shared" si="240"/>
        <v>1.0000820884245</v>
      </c>
      <c r="AO214" s="32">
        <f t="shared" si="241"/>
        <v>-0.0128127131766454</v>
      </c>
      <c r="AP214" s="30" t="str">
        <f t="shared" si="242"/>
        <v>34,5903694445259-38,0456880171005i</v>
      </c>
      <c r="AQ214" s="32">
        <f t="shared" si="243"/>
        <v>34.2225620031981</v>
      </c>
      <c r="AR214" s="31">
        <f t="shared" si="244"/>
        <v>-47.7235239024666</v>
      </c>
      <c r="AS214" t="str">
        <f t="shared" si="220"/>
        <v>-0,000338461538461538</v>
      </c>
      <c r="AT214" t="str">
        <f t="shared" si="221"/>
        <v>0,00100311773150789i</v>
      </c>
      <c r="AU214">
        <f t="shared" si="245"/>
        <v>0.00100311773150789</v>
      </c>
      <c r="AV214">
        <f t="shared" si="246"/>
        <v>1.5707963267949</v>
      </c>
      <c r="AW214" t="str">
        <f t="shared" si="222"/>
        <v>1+0,162802294297005i</v>
      </c>
      <c r="AX214">
        <f t="shared" si="247"/>
        <v>1.01316562665162</v>
      </c>
      <c r="AY214">
        <f t="shared" si="248"/>
        <v>0.161386407636565</v>
      </c>
      <c r="AZ214" t="str">
        <f t="shared" si="223"/>
        <v>1+1,42112261024573i</v>
      </c>
      <c r="BA214">
        <f t="shared" si="249"/>
        <v>1.7376965999137</v>
      </c>
      <c r="BB214">
        <f t="shared" si="250"/>
        <v>0.957612153577928</v>
      </c>
      <c r="BC214" s="30" t="str">
        <f t="shared" si="251"/>
        <v>-0,41360685785519+0,404745731360113i</v>
      </c>
      <c r="BD214" s="32">
        <f t="shared" si="252"/>
        <v>-4.75098157819304</v>
      </c>
      <c r="BE214" s="31">
        <f t="shared" si="253"/>
        <v>135.620374782096</v>
      </c>
      <c r="BF214" s="30" t="str">
        <f t="shared" si="254"/>
        <v>1,4916713503977+4,22348848390841i</v>
      </c>
      <c r="BG214" s="68">
        <f t="shared" si="255"/>
        <v>13.0239453953558</v>
      </c>
      <c r="BH214" s="31">
        <f t="shared" si="256"/>
        <v>70.547560761442</v>
      </c>
      <c r="BI214" s="30" t="str">
        <f t="shared" si="209"/>
        <v>1,0920158035795+29,7362618545329i</v>
      </c>
      <c r="BJ214" s="68">
        <f t="shared" si="257"/>
        <v>29.4715804250051</v>
      </c>
      <c r="BK214" s="31">
        <f t="shared" si="210"/>
        <v>87.8968508796293</v>
      </c>
      <c r="BL214" s="32">
        <f t="shared" si="258"/>
        <v>13.0239453953558</v>
      </c>
      <c r="BM214" s="31">
        <f t="shared" si="259"/>
        <v>70.547560761442</v>
      </c>
      <c r="BO214">
        <f t="shared" si="260"/>
        <v>0</v>
      </c>
      <c r="BP214">
        <f t="shared" si="261"/>
        <v>0</v>
      </c>
    </row>
    <row r="215" spans="14:68">
      <c r="N215" s="7">
        <v>97</v>
      </c>
      <c r="O215" s="18">
        <f t="shared" si="211"/>
        <v>933.254300796991</v>
      </c>
      <c r="P215" s="86" t="str">
        <f t="shared" si="212"/>
        <v>15</v>
      </c>
      <c r="Q215" s="4" t="str">
        <f t="shared" si="213"/>
        <v>1+1,71027783226703i</v>
      </c>
      <c r="R215" s="4">
        <f t="shared" si="224"/>
        <v>1.98117396094942</v>
      </c>
      <c r="S215" s="4">
        <f t="shared" si="225"/>
        <v>1.04170255547592</v>
      </c>
      <c r="T215" s="4" t="str">
        <f t="shared" si="214"/>
        <v>1+0,00117276194212596i</v>
      </c>
      <c r="U215" s="4">
        <f t="shared" si="226"/>
        <v>1.00000068768505</v>
      </c>
      <c r="V215" s="4">
        <f t="shared" si="227"/>
        <v>0.00117276140446565</v>
      </c>
      <c r="W215" t="str">
        <f t="shared" si="215"/>
        <v>1-0,102616669936022i</v>
      </c>
      <c r="X215" s="4">
        <f t="shared" si="228"/>
        <v>1.005251302386</v>
      </c>
      <c r="Y215" s="4">
        <f t="shared" si="229"/>
        <v>-0.102258737981052</v>
      </c>
      <c r="Z215" t="str">
        <f t="shared" si="216"/>
        <v>0,999993806481138+0,00544496615987052i</v>
      </c>
      <c r="AA215" s="4">
        <f t="shared" si="230"/>
        <v>1.00000863029132</v>
      </c>
      <c r="AB215" s="4">
        <f t="shared" si="231"/>
        <v>0.0054449460733753</v>
      </c>
      <c r="AC215" s="67" t="str">
        <f t="shared" si="232"/>
        <v>3,12125165902929-6,9415133642479i</v>
      </c>
      <c r="AD215" s="68">
        <f t="shared" si="233"/>
        <v>17.6287968554251</v>
      </c>
      <c r="AE215" s="31">
        <f t="shared" si="234"/>
        <v>-65.7889321922405</v>
      </c>
      <c r="AF215" s="32" t="str">
        <f t="shared" si="235"/>
        <v>75,4669735059805</v>
      </c>
      <c r="AG215" s="32" t="str">
        <f t="shared" si="217"/>
        <v>1+1,09946432074309i</v>
      </c>
      <c r="AH215" s="32">
        <f t="shared" si="236"/>
        <v>1.48621054786563</v>
      </c>
      <c r="AI215" s="32">
        <f t="shared" si="237"/>
        <v>0.832738813230349</v>
      </c>
      <c r="AJ215" s="32" t="str">
        <f t="shared" si="218"/>
        <v>1+0,00117276194212596i</v>
      </c>
      <c r="AK215" s="32">
        <f t="shared" si="238"/>
        <v>1.00000068768505</v>
      </c>
      <c r="AL215" s="32">
        <f t="shared" si="239"/>
        <v>0.00117276140446565</v>
      </c>
      <c r="AM215" s="32" t="str">
        <f t="shared" si="219"/>
        <v>1-0,0131118771200916i</v>
      </c>
      <c r="AN215" s="32">
        <f t="shared" si="240"/>
        <v>1.00008595696651</v>
      </c>
      <c r="AO215" s="32">
        <f t="shared" si="241"/>
        <v>-0.0131111257938437</v>
      </c>
      <c r="AP215" s="30" t="str">
        <f t="shared" si="242"/>
        <v>33,7182053771789-37,9729726605163i</v>
      </c>
      <c r="AQ215" s="32">
        <f t="shared" si="243"/>
        <v>34.1142844408335</v>
      </c>
      <c r="AR215" s="31">
        <f t="shared" si="244"/>
        <v>-48.3964373286325</v>
      </c>
      <c r="AS215" t="str">
        <f t="shared" si="220"/>
        <v>-0,000338461538461538</v>
      </c>
      <c r="AT215" t="str">
        <f t="shared" si="221"/>
        <v>0,00102648334508459i</v>
      </c>
      <c r="AU215">
        <f t="shared" si="245"/>
        <v>0.00102648334508459</v>
      </c>
      <c r="AV215">
        <f t="shared" si="246"/>
        <v>1.5707963267949</v>
      </c>
      <c r="AW215" t="str">
        <f t="shared" si="222"/>
        <v>1+0,166594446881354i</v>
      </c>
      <c r="AX215">
        <f t="shared" si="247"/>
        <v>1.01378188469301</v>
      </c>
      <c r="AY215">
        <f t="shared" si="248"/>
        <v>0.16507840869258</v>
      </c>
      <c r="AZ215" t="str">
        <f t="shared" si="223"/>
        <v>1+1,45422480823619i</v>
      </c>
      <c r="BA215">
        <f t="shared" si="249"/>
        <v>1.76487104143322</v>
      </c>
      <c r="BB215">
        <f t="shared" si="250"/>
        <v>0.96840605224635</v>
      </c>
      <c r="BC215" s="30" t="str">
        <f t="shared" si="251"/>
        <v>-0,41310416376466+0,398550065778375i</v>
      </c>
      <c r="BD215" s="32">
        <f t="shared" si="252"/>
        <v>-4.82148264941885</v>
      </c>
      <c r="BE215" s="31">
        <f t="shared" si="253"/>
        <v>136.027283541821</v>
      </c>
      <c r="BF215" s="30" t="str">
        <f t="shared" si="254"/>
        <v>1,47713855142012+4,11154312761583i</v>
      </c>
      <c r="BG215" s="68">
        <f t="shared" si="255"/>
        <v>12.8073142060063</v>
      </c>
      <c r="BH215" s="31">
        <f t="shared" si="256"/>
        <v>70.2383513495802</v>
      </c>
      <c r="BI215" s="30" t="str">
        <f t="shared" si="209"/>
        <v>1,20499971566465+29,1251860875843i</v>
      </c>
      <c r="BJ215" s="68">
        <f t="shared" si="257"/>
        <v>29.2928017914147</v>
      </c>
      <c r="BK215" s="31">
        <f t="shared" si="210"/>
        <v>87.6308462131882</v>
      </c>
      <c r="BL215" s="32">
        <f t="shared" si="258"/>
        <v>12.8073142060063</v>
      </c>
      <c r="BM215" s="31">
        <f t="shared" si="259"/>
        <v>70.2383513495802</v>
      </c>
      <c r="BO215">
        <f t="shared" si="260"/>
        <v>0</v>
      </c>
      <c r="BP215">
        <f t="shared" si="261"/>
        <v>0</v>
      </c>
    </row>
    <row r="216" spans="14:68">
      <c r="N216" s="7">
        <v>98</v>
      </c>
      <c r="O216" s="18">
        <f t="shared" si="211"/>
        <v>954.992586021437</v>
      </c>
      <c r="P216" s="86" t="str">
        <f t="shared" si="212"/>
        <v>15</v>
      </c>
      <c r="Q216" s="4" t="str">
        <f t="shared" si="213"/>
        <v>1+1,75011532061197i</v>
      </c>
      <c r="R216" s="4">
        <f t="shared" si="224"/>
        <v>2.01566456421716</v>
      </c>
      <c r="S216" s="4">
        <f t="shared" si="225"/>
        <v>1.05167859775046</v>
      </c>
      <c r="T216" s="4" t="str">
        <f t="shared" si="214"/>
        <v>1+0,00120007907699107i</v>
      </c>
      <c r="U216" s="4">
        <f t="shared" si="226"/>
        <v>1.00000072009464</v>
      </c>
      <c r="V216" s="4">
        <f t="shared" si="227"/>
        <v>0.00120007850087769</v>
      </c>
      <c r="W216" t="str">
        <f t="shared" si="215"/>
        <v>1-0,105006919236718i</v>
      </c>
      <c r="X216" s="4">
        <f t="shared" si="228"/>
        <v>1.00549811192642</v>
      </c>
      <c r="Y216" s="4">
        <f t="shared" si="229"/>
        <v>-0.104623501411601</v>
      </c>
      <c r="Z216" t="str">
        <f t="shared" si="216"/>
        <v>0,999993514589587+0,00557179571460136i</v>
      </c>
      <c r="AA216" s="4">
        <f t="shared" si="230"/>
        <v>1.00000903702353</v>
      </c>
      <c r="AB216" s="4">
        <f t="shared" si="231"/>
        <v>0.00557177419154235</v>
      </c>
      <c r="AC216" s="67" t="str">
        <f t="shared" si="232"/>
        <v>2,98346206187953-6,86205298138225i</v>
      </c>
      <c r="AD216" s="68">
        <f t="shared" si="233"/>
        <v>17.4810129124176</v>
      </c>
      <c r="AE216" s="31">
        <f t="shared" si="234"/>
        <v>-66.5017098364946</v>
      </c>
      <c r="AF216" s="32" t="str">
        <f t="shared" si="235"/>
        <v>75,4669735059805</v>
      </c>
      <c r="AG216" s="32" t="str">
        <f t="shared" si="217"/>
        <v>1+1,12507413467913i</v>
      </c>
      <c r="AH216" s="32">
        <f t="shared" si="236"/>
        <v>1.50525473210483</v>
      </c>
      <c r="AI216" s="32">
        <f t="shared" si="237"/>
        <v>0.844186706422216</v>
      </c>
      <c r="AJ216" s="32" t="str">
        <f t="shared" si="218"/>
        <v>1+0,00120007907699107i</v>
      </c>
      <c r="AK216" s="32">
        <f t="shared" si="238"/>
        <v>1.00000072009464</v>
      </c>
      <c r="AL216" s="32">
        <f t="shared" si="239"/>
        <v>0.00120007850087769</v>
      </c>
      <c r="AM216" s="32" t="str">
        <f t="shared" si="219"/>
        <v>1-0,0134172919726361i</v>
      </c>
      <c r="AN216" s="32">
        <f t="shared" si="240"/>
        <v>1.00009000781124</v>
      </c>
      <c r="AO216" s="32">
        <f t="shared" si="241"/>
        <v>-0.0134164869159701</v>
      </c>
      <c r="AP216" s="30" t="str">
        <f t="shared" si="242"/>
        <v>32,8498295549067-37,8804896427561i</v>
      </c>
      <c r="AQ216" s="32">
        <f t="shared" si="243"/>
        <v>34.003726665479</v>
      </c>
      <c r="AR216" s="31">
        <f t="shared" si="244"/>
        <v>-49.0682840420353</v>
      </c>
      <c r="AS216" t="str">
        <f t="shared" si="220"/>
        <v>-0,000338461538461538</v>
      </c>
      <c r="AT216" t="str">
        <f t="shared" si="221"/>
        <v>0,00105039321371797i</v>
      </c>
      <c r="AU216">
        <f t="shared" si="245"/>
        <v>0.00105039321371797</v>
      </c>
      <c r="AV216">
        <f t="shared" si="246"/>
        <v>1.5707963267949</v>
      </c>
      <c r="AW216" t="str">
        <f t="shared" si="222"/>
        <v>1+0,170474930046578i</v>
      </c>
      <c r="AX216">
        <f t="shared" si="247"/>
        <v>1.01442678482697</v>
      </c>
      <c r="AY216">
        <f t="shared" si="248"/>
        <v>0.16885171098937</v>
      </c>
      <c r="AZ216" t="str">
        <f t="shared" si="223"/>
        <v>1+1,48809805546892i</v>
      </c>
      <c r="BA216">
        <f t="shared" si="249"/>
        <v>1.79288477674679</v>
      </c>
      <c r="BB216">
        <f t="shared" si="250"/>
        <v>0.979111375127303</v>
      </c>
      <c r="BC216" s="30" t="str">
        <f t="shared" si="251"/>
        <v>-0,412579086446099+0,392558043949059i</v>
      </c>
      <c r="BD216" s="32">
        <f t="shared" si="252"/>
        <v>-4.89021822295081</v>
      </c>
      <c r="BE216" s="31">
        <f t="shared" si="253"/>
        <v>136.424459064791</v>
      </c>
      <c r="BF216" s="30" t="str">
        <f t="shared" si="254"/>
        <v>1,46284004390937+4,00232158141107i</v>
      </c>
      <c r="BG216" s="68">
        <f t="shared" si="255"/>
        <v>12.5907946894668</v>
      </c>
      <c r="BH216" s="31">
        <f t="shared" si="256"/>
        <v>69.9227492282967</v>
      </c>
      <c r="BI216" s="30" t="str">
        <f t="shared" si="209"/>
        <v>1,31713825031946+28,5241626450734i</v>
      </c>
      <c r="BJ216" s="68">
        <f t="shared" si="257"/>
        <v>29.1135084425282</v>
      </c>
      <c r="BK216" s="31">
        <f t="shared" si="210"/>
        <v>87.356175022756</v>
      </c>
      <c r="BL216" s="32">
        <f t="shared" si="258"/>
        <v>12.5907946894668</v>
      </c>
      <c r="BM216" s="31">
        <f t="shared" si="259"/>
        <v>69.9227492282967</v>
      </c>
      <c r="BO216">
        <f t="shared" si="260"/>
        <v>0</v>
      </c>
      <c r="BP216">
        <f t="shared" si="261"/>
        <v>0</v>
      </c>
    </row>
    <row r="217" spans="14:68">
      <c r="N217" s="7">
        <v>99</v>
      </c>
      <c r="O217" s="18">
        <f t="shared" si="211"/>
        <v>977.237220955811</v>
      </c>
      <c r="P217" s="86" t="str">
        <f t="shared" si="212"/>
        <v>15</v>
      </c>
      <c r="Q217" s="4" t="str">
        <f t="shared" si="213"/>
        <v>1+1,79088074326542i</v>
      </c>
      <c r="R217" s="4">
        <f t="shared" si="224"/>
        <v>2.05115914462991</v>
      </c>
      <c r="S217" s="4">
        <f t="shared" si="225"/>
        <v>1.06153869885366</v>
      </c>
      <c r="T217" s="4" t="str">
        <f t="shared" si="214"/>
        <v>1+0,00122803250966771i</v>
      </c>
      <c r="U217" s="4">
        <f t="shared" si="226"/>
        <v>1.00000075403164</v>
      </c>
      <c r="V217" s="4">
        <f t="shared" si="227"/>
        <v>0.00122803189235113</v>
      </c>
      <c r="W217" t="str">
        <f t="shared" si="215"/>
        <v>1-0,107452844595925i</v>
      </c>
      <c r="X217" s="4">
        <f t="shared" si="228"/>
        <v>1.00575648832695</v>
      </c>
      <c r="Y217" s="4">
        <f t="shared" si="229"/>
        <v>-0.10704213188712</v>
      </c>
      <c r="Z217" t="str">
        <f t="shared" si="216"/>
        <v>0,99999320894161+0,00570157950917151i</v>
      </c>
      <c r="AA217" s="4">
        <f t="shared" si="230"/>
        <v>1.00000946292435</v>
      </c>
      <c r="AB217" s="4">
        <f t="shared" si="231"/>
        <v>0.00570155644680769</v>
      </c>
      <c r="AC217" s="67" t="str">
        <f t="shared" si="232"/>
        <v>2,8488565737679-6,78082694277589i</v>
      </c>
      <c r="AD217" s="68">
        <f t="shared" si="233"/>
        <v>17.3316192450677</v>
      </c>
      <c r="AE217" s="31">
        <f t="shared" si="234"/>
        <v>-67.2110636978565</v>
      </c>
      <c r="AF217" s="32" t="str">
        <f t="shared" si="235"/>
        <v>75,4669735059805</v>
      </c>
      <c r="AG217" s="32" t="str">
        <f t="shared" si="217"/>
        <v>1+1,15128047781348i</v>
      </c>
      <c r="AH217" s="32">
        <f t="shared" si="236"/>
        <v>1.52494155251748</v>
      </c>
      <c r="AI217" s="32">
        <f t="shared" si="237"/>
        <v>0.85560372370466</v>
      </c>
      <c r="AJ217" s="32" t="str">
        <f t="shared" si="218"/>
        <v>1+0,00122803250966771i</v>
      </c>
      <c r="AK217" s="32">
        <f t="shared" si="238"/>
        <v>1.00000075403164</v>
      </c>
      <c r="AL217" s="32">
        <f t="shared" si="239"/>
        <v>0.00122803189235113</v>
      </c>
      <c r="AM217" s="32" t="str">
        <f t="shared" si="219"/>
        <v>1-0,0137298208509834i</v>
      </c>
      <c r="AN217" s="32">
        <f t="shared" si="240"/>
        <v>1.00009424954881</v>
      </c>
      <c r="AO217" s="32">
        <f t="shared" si="241"/>
        <v>-0.0137289582216146</v>
      </c>
      <c r="AP217" s="30" t="str">
        <f t="shared" si="242"/>
        <v>31,9861313746148-37,7684807419027i</v>
      </c>
      <c r="AQ217" s="32">
        <f t="shared" si="243"/>
        <v>33.8908998538088</v>
      </c>
      <c r="AR217" s="31">
        <f t="shared" si="244"/>
        <v>-49.7387326226251</v>
      </c>
      <c r="AS217" t="str">
        <f t="shared" si="220"/>
        <v>-0,000338461538461538</v>
      </c>
      <c r="AT217" t="str">
        <f t="shared" si="221"/>
        <v>0,00107486001473686i</v>
      </c>
      <c r="AU217">
        <f t="shared" si="245"/>
        <v>0.00107486001473686</v>
      </c>
      <c r="AV217">
        <f t="shared" si="246"/>
        <v>1.5707963267949</v>
      </c>
      <c r="AW217" t="str">
        <f t="shared" si="222"/>
        <v>1+0,174445801276215i</v>
      </c>
      <c r="AX217">
        <f t="shared" si="247"/>
        <v>1.01510163904059</v>
      </c>
      <c r="AY217">
        <f t="shared" si="248"/>
        <v>0.172707885176968</v>
      </c>
      <c r="AZ217" t="str">
        <f t="shared" si="223"/>
        <v>1+1,52276031198796i</v>
      </c>
      <c r="BA217">
        <f t="shared" si="249"/>
        <v>1.82175710998082</v>
      </c>
      <c r="BB217">
        <f t="shared" si="250"/>
        <v>0.989723983334385</v>
      </c>
      <c r="BC217" s="30" t="str">
        <f t="shared" si="251"/>
        <v>-0,412030691739889+0,386765971402285i</v>
      </c>
      <c r="BD217" s="32">
        <f t="shared" si="252"/>
        <v>-4.95723277806508</v>
      </c>
      <c r="BE217" s="31">
        <f t="shared" si="253"/>
        <v>136.811574218666</v>
      </c>
      <c r="BF217" s="30" t="str">
        <f t="shared" si="254"/>
        <v>1,44877677467619+3,89574959593955i</v>
      </c>
      <c r="BG217" s="68">
        <f t="shared" si="255"/>
        <v>12.3743864670027</v>
      </c>
      <c r="BH217" s="31">
        <f t="shared" si="256"/>
        <v>69.6005105208095</v>
      </c>
      <c r="BI217" s="30" t="str">
        <f t="shared" si="209"/>
        <v>1,42829530616499+27,9329204185548i</v>
      </c>
      <c r="BJ217" s="68">
        <f t="shared" si="257"/>
        <v>28.9336670757437</v>
      </c>
      <c r="BK217" s="31">
        <f t="shared" si="210"/>
        <v>87.072841596041</v>
      </c>
      <c r="BL217" s="32">
        <f t="shared" si="258"/>
        <v>12.3743864670027</v>
      </c>
      <c r="BM217" s="31">
        <f t="shared" si="259"/>
        <v>69.6005105208095</v>
      </c>
      <c r="BO217">
        <f t="shared" si="260"/>
        <v>0</v>
      </c>
      <c r="BP217">
        <f t="shared" si="261"/>
        <v>0</v>
      </c>
    </row>
    <row r="218" spans="14:68">
      <c r="N218" s="7">
        <v>100</v>
      </c>
      <c r="O218" s="18">
        <f t="shared" si="211"/>
        <v>1000</v>
      </c>
      <c r="P218" s="86" t="str">
        <f t="shared" si="212"/>
        <v>15</v>
      </c>
      <c r="Q218" s="4" t="str">
        <f t="shared" si="213"/>
        <v>1+1,83259571459405i</v>
      </c>
      <c r="R218" s="4">
        <f t="shared" si="224"/>
        <v>2.08767982534403</v>
      </c>
      <c r="S218" s="4">
        <f t="shared" si="225"/>
        <v>1.07128041714718</v>
      </c>
      <c r="T218" s="4" t="str">
        <f t="shared" si="214"/>
        <v>1+0,00125663706143592i</v>
      </c>
      <c r="U218" s="4">
        <f t="shared" si="226"/>
        <v>1.00000078956804</v>
      </c>
      <c r="V218" s="4">
        <f t="shared" si="227"/>
        <v>0.00125663639996931</v>
      </c>
      <c r="W218" t="str">
        <f t="shared" si="215"/>
        <v>1-0,109955742875643i</v>
      </c>
      <c r="X218" s="4">
        <f t="shared" si="228"/>
        <v>1.00602697050891</v>
      </c>
      <c r="Y218" s="4">
        <f t="shared" si="229"/>
        <v>-0.109515798548265</v>
      </c>
      <c r="Z218" t="str">
        <f t="shared" si="216"/>
        <v>0,999992888888889+0,00583438635666675i</v>
      </c>
      <c r="AA218" s="4">
        <f t="shared" si="230"/>
        <v>1.00000990889716</v>
      </c>
      <c r="AB218" s="4">
        <f t="shared" si="231"/>
        <v>0.00583436164490926</v>
      </c>
      <c r="AC218" s="67" t="str">
        <f t="shared" si="232"/>
        <v>2,71746385012038-6,69798144021291i</v>
      </c>
      <c r="AD218" s="68">
        <f t="shared" si="233"/>
        <v>17.180660561899</v>
      </c>
      <c r="AE218" s="31">
        <f t="shared" si="234"/>
        <v>-67.9169239606738</v>
      </c>
      <c r="AF218" s="32" t="str">
        <f t="shared" si="235"/>
        <v>75,4669735059805</v>
      </c>
      <c r="AG218" s="32" t="str">
        <f t="shared" si="217"/>
        <v>1+1,17809724509617i</v>
      </c>
      <c r="AH218" s="32">
        <f t="shared" si="236"/>
        <v>1.54528739039157</v>
      </c>
      <c r="AI218" s="32">
        <f t="shared" si="237"/>
        <v>0.866984013943484</v>
      </c>
      <c r="AJ218" s="32" t="str">
        <f t="shared" si="218"/>
        <v>1+0,00125663706143592i</v>
      </c>
      <c r="AK218" s="32">
        <f t="shared" si="238"/>
        <v>1.00000078956804</v>
      </c>
      <c r="AL218" s="32">
        <f t="shared" si="239"/>
        <v>0.00125663639996931</v>
      </c>
      <c r="AM218" s="32" t="str">
        <f t="shared" si="219"/>
        <v>1-0,0140496294620815i</v>
      </c>
      <c r="AN218" s="32">
        <f t="shared" si="240"/>
        <v>1.00009869117404</v>
      </c>
      <c r="AO218" s="32">
        <f t="shared" si="241"/>
        <v>-0.0140487051429858</v>
      </c>
      <c r="AP218" s="30" t="str">
        <f t="shared" si="242"/>
        <v>31,1279808240526-37,6372368727845i</v>
      </c>
      <c r="AQ218" s="32">
        <f t="shared" si="243"/>
        <v>33.7758174931167</v>
      </c>
      <c r="AR218" s="31">
        <f t="shared" si="244"/>
        <v>-50.407456454489</v>
      </c>
      <c r="AS218" t="str">
        <f t="shared" si="220"/>
        <v>-0,000338461538461538</v>
      </c>
      <c r="AT218" t="str">
        <f t="shared" si="221"/>
        <v>0,00109989672076302i</v>
      </c>
      <c r="AU218">
        <f t="shared" si="245"/>
        <v>0.00109989672076302</v>
      </c>
      <c r="AV218">
        <f t="shared" si="246"/>
        <v>1.5707963267949</v>
      </c>
      <c r="AW218" t="str">
        <f t="shared" si="222"/>
        <v>1+0,178509165978752i</v>
      </c>
      <c r="AX218">
        <f t="shared" si="247"/>
        <v>1.01580781762026</v>
      </c>
      <c r="AY218">
        <f t="shared" si="248"/>
        <v>0.176648516887637</v>
      </c>
      <c r="AZ218" t="str">
        <f t="shared" si="223"/>
        <v>1+1,55822995618054i</v>
      </c>
      <c r="BA218">
        <f t="shared" si="249"/>
        <v>1.85150765494999</v>
      </c>
      <c r="BB218">
        <f t="shared" si="250"/>
        <v>1.00023994153755</v>
      </c>
      <c r="BC218" s="30" t="str">
        <f t="shared" si="251"/>
        <v>-0,411458012331469+0,381170226318606i</v>
      </c>
      <c r="BD218" s="32">
        <f t="shared" si="252"/>
        <v>-5.02257243855705</v>
      </c>
      <c r="BE218" s="31">
        <f t="shared" si="253"/>
        <v>137.188312675607</v>
      </c>
      <c r="BF218" s="30" t="str">
        <f t="shared" si="254"/>
        <v>1,43494882709062+3,79175444078609i</v>
      </c>
      <c r="BG218" s="68">
        <f t="shared" si="255"/>
        <v>12.1580881233419</v>
      </c>
      <c r="BH218" s="31">
        <f t="shared" si="256"/>
        <v>69.2713887149334</v>
      </c>
      <c r="BI218" s="30" t="str">
        <f t="shared" si="209"/>
        <v>1,53833697904948+27,3512021688699i</v>
      </c>
      <c r="BJ218" s="68">
        <f t="shared" si="257"/>
        <v>28.7532450545597</v>
      </c>
      <c r="BK218" s="31">
        <f t="shared" si="210"/>
        <v>86.7808562211182</v>
      </c>
      <c r="BL218" s="32">
        <f t="shared" si="258"/>
        <v>12.1580881233419</v>
      </c>
      <c r="BM218" s="31">
        <f t="shared" si="259"/>
        <v>69.2713887149334</v>
      </c>
      <c r="BO218">
        <f t="shared" si="260"/>
        <v>0</v>
      </c>
      <c r="BP218">
        <f t="shared" si="261"/>
        <v>0</v>
      </c>
    </row>
    <row r="219" spans="14:68">
      <c r="N219" s="7">
        <v>1</v>
      </c>
      <c r="O219" s="18">
        <f>10^(3+(N219/100))</f>
        <v>1023.29299228075</v>
      </c>
      <c r="P219" s="86" t="str">
        <f t="shared" si="212"/>
        <v>15</v>
      </c>
      <c r="Q219" s="4" t="str">
        <f t="shared" si="213"/>
        <v>1+1,87528235242783i</v>
      </c>
      <c r="R219" s="4">
        <f t="shared" si="224"/>
        <v>2.12524913864875</v>
      </c>
      <c r="S219" s="4">
        <f t="shared" si="225"/>
        <v>1.08090152108448</v>
      </c>
      <c r="T219" s="4" t="str">
        <f t="shared" si="214"/>
        <v>1+0,00128590789880765i</v>
      </c>
      <c r="U219" s="4">
        <f t="shared" si="226"/>
        <v>1.00000082677922</v>
      </c>
      <c r="V219" s="4">
        <f t="shared" si="227"/>
        <v>0.00128590719003344</v>
      </c>
      <c r="W219" t="str">
        <f t="shared" si="215"/>
        <v>1-0,11251694114567i</v>
      </c>
      <c r="X219" s="4">
        <f t="shared" si="228"/>
        <v>1.00631012220129</v>
      </c>
      <c r="Y219" s="4">
        <f t="shared" si="229"/>
        <v>-0.112045691808524</v>
      </c>
      <c r="Z219" t="str">
        <f t="shared" si="216"/>
        <v>0,999992553752547+0,00597028667303552i</v>
      </c>
      <c r="AA219" s="4">
        <f t="shared" si="230"/>
        <v>1.00001037588792</v>
      </c>
      <c r="AB219" s="4">
        <f t="shared" si="231"/>
        <v>0.00597026019392216</v>
      </c>
      <c r="AC219" s="67" t="str">
        <f t="shared" si="232"/>
        <v>2,58930454855099-6,61366097576561i</v>
      </c>
      <c r="AD219" s="68">
        <f t="shared" si="233"/>
        <v>17.0281820856739</v>
      </c>
      <c r="AE219" s="31">
        <f t="shared" si="234"/>
        <v>-68.6192341375363</v>
      </c>
      <c r="AF219" s="32" t="str">
        <f t="shared" si="235"/>
        <v>75,4669735059805</v>
      </c>
      <c r="AG219" s="32" t="str">
        <f t="shared" si="217"/>
        <v>1+1,20553865513218i</v>
      </c>
      <c r="AH219" s="32">
        <f t="shared" si="236"/>
        <v>1.5663088613099</v>
      </c>
      <c r="AI219" s="32">
        <f t="shared" si="237"/>
        <v>0.878321820999293</v>
      </c>
      <c r="AJ219" s="32" t="str">
        <f t="shared" si="218"/>
        <v>1+0,00128590789880765i</v>
      </c>
      <c r="AK219" s="32">
        <f t="shared" si="238"/>
        <v>1.00000082677922</v>
      </c>
      <c r="AL219" s="32">
        <f t="shared" si="239"/>
        <v>0.00128590719003344</v>
      </c>
      <c r="AM219" s="32" t="str">
        <f t="shared" si="219"/>
        <v>1-0,0143768873726892i</v>
      </c>
      <c r="AN219" s="32">
        <f t="shared" si="240"/>
        <v>1.00010334210547</v>
      </c>
      <c r="AO219" s="32">
        <f t="shared" si="241"/>
        <v>-0.0143758969524613</v>
      </c>
      <c r="AP219" s="30" t="str">
        <f t="shared" si="242"/>
        <v>30,2762250769758-37,4870962628993i</v>
      </c>
      <c r="AQ219" s="32">
        <f t="shared" si="243"/>
        <v>33.6584953260942</v>
      </c>
      <c r="AR219" s="31">
        <f t="shared" si="244"/>
        <v>-51.074134564761</v>
      </c>
      <c r="AS219" t="str">
        <f t="shared" si="220"/>
        <v>-0,000338461538461538</v>
      </c>
      <c r="AT219" t="str">
        <f t="shared" si="221"/>
        <v>0,00112551660658938i</v>
      </c>
      <c r="AU219">
        <f t="shared" si="245"/>
        <v>0.00112551660658938</v>
      </c>
      <c r="AV219">
        <f t="shared" si="246"/>
        <v>1.5707963267949</v>
      </c>
      <c r="AW219" t="str">
        <f t="shared" si="222"/>
        <v>1+0,182667178603939i</v>
      </c>
      <c r="AX219">
        <f t="shared" si="247"/>
        <v>1.01654675157571</v>
      </c>
      <c r="AY219">
        <f t="shared" si="248"/>
        <v>0.180675205714004</v>
      </c>
      <c r="AZ219" t="str">
        <f t="shared" si="223"/>
        <v>1+1,59452579452149i</v>
      </c>
      <c r="BA219">
        <f t="shared" si="249"/>
        <v>1.88215634562976</v>
      </c>
      <c r="BB219">
        <f t="shared" si="250"/>
        <v>1.01065552194823</v>
      </c>
      <c r="BC219" s="30" t="str">
        <f t="shared" si="251"/>
        <v>-0,410860047128743+0,3757672556361i</v>
      </c>
      <c r="BD219" s="32">
        <f t="shared" si="252"/>
        <v>-5.08628487389947</v>
      </c>
      <c r="BE219" s="31">
        <f t="shared" si="253"/>
        <v>137.554369199155</v>
      </c>
      <c r="BF219" s="30" t="str">
        <f t="shared" si="254"/>
        <v>1,42135544572269+3,69026492441166i</v>
      </c>
      <c r="BG219" s="68">
        <f t="shared" si="255"/>
        <v>11.9418972117744</v>
      </c>
      <c r="BH219" s="31">
        <f t="shared" si="256"/>
        <v>68.9351350616184</v>
      </c>
      <c r="BI219" s="30" t="str">
        <f t="shared" si="209"/>
        <v>1,64713202246926+26,7787641454906i</v>
      </c>
      <c r="BJ219" s="68">
        <f t="shared" si="257"/>
        <v>28.5722104521948</v>
      </c>
      <c r="BK219" s="31">
        <f t="shared" si="210"/>
        <v>86.4802346343937</v>
      </c>
      <c r="BL219" s="32">
        <f t="shared" si="258"/>
        <v>11.9418972117744</v>
      </c>
      <c r="BM219" s="31">
        <f t="shared" si="259"/>
        <v>68.9351350616184</v>
      </c>
      <c r="BO219">
        <f t="shared" si="260"/>
        <v>0</v>
      </c>
      <c r="BP219">
        <f t="shared" si="261"/>
        <v>0</v>
      </c>
    </row>
    <row r="220" spans="14:68">
      <c r="N220" s="7">
        <v>2</v>
      </c>
      <c r="O220" s="18">
        <f t="shared" ref="O220:O283" si="262">10^(3+(N220/100))</f>
        <v>1047.1285480509</v>
      </c>
      <c r="P220" s="86" t="str">
        <f t="shared" si="212"/>
        <v>15</v>
      </c>
      <c r="Q220" s="4" t="str">
        <f t="shared" si="213"/>
        <v>1+1,91896328978716i</v>
      </c>
      <c r="R220" s="4">
        <f t="shared" si="224"/>
        <v>2.16389004054059</v>
      </c>
      <c r="S220" s="4">
        <f t="shared" si="225"/>
        <v>1.09039998643869</v>
      </c>
      <c r="T220" s="4" t="str">
        <f t="shared" si="214"/>
        <v>1+0,00131586054156834i</v>
      </c>
      <c r="U220" s="4">
        <f t="shared" si="226"/>
        <v>1.00000086574411</v>
      </c>
      <c r="V220" s="4">
        <f t="shared" si="227"/>
        <v>0.00131585978210313</v>
      </c>
      <c r="W220" t="str">
        <f t="shared" si="215"/>
        <v>1-0,11513779738723i</v>
      </c>
      <c r="X220" s="4">
        <f t="shared" si="228"/>
        <v>1.00660653305409</v>
      </c>
      <c r="Y220" s="4">
        <f t="shared" si="229"/>
        <v>-0.114633023442702</v>
      </c>
      <c r="Z220" t="str">
        <f t="shared" si="216"/>
        <v>0,999992202821716+0,00610935251442443i</v>
      </c>
      <c r="AA220" s="4">
        <f t="shared" si="230"/>
        <v>1.00001086488716</v>
      </c>
      <c r="AB220" s="4">
        <f t="shared" si="231"/>
        <v>0.00610932414155659</v>
      </c>
      <c r="AC220" s="67" t="str">
        <f t="shared" si="232"/>
        <v>2,46439163830499-6,5280079070327i</v>
      </c>
      <c r="AD220" s="68">
        <f t="shared" si="233"/>
        <v>16.8742294636771</v>
      </c>
      <c r="AE220" s="31">
        <f t="shared" si="234"/>
        <v>-69.3179509171934</v>
      </c>
      <c r="AF220" s="32" t="str">
        <f t="shared" si="235"/>
        <v>75,4669735059805</v>
      </c>
      <c r="AG220" s="32" t="str">
        <f t="shared" si="217"/>
        <v>1+1,23361925772032i</v>
      </c>
      <c r="AH220" s="32">
        <f t="shared" si="236"/>
        <v>1.58802281879652</v>
      </c>
      <c r="AI220" s="32">
        <f t="shared" si="237"/>
        <v>0.889611497698298</v>
      </c>
      <c r="AJ220" s="32" t="str">
        <f t="shared" si="218"/>
        <v>1+0,00131586054156834i</v>
      </c>
      <c r="AK220" s="32">
        <f t="shared" si="238"/>
        <v>1.00000086574411</v>
      </c>
      <c r="AL220" s="32">
        <f t="shared" si="239"/>
        <v>0.00131585978210313</v>
      </c>
      <c r="AM220" s="32" t="str">
        <f t="shared" si="219"/>
        <v>1-0,0147117680992825i</v>
      </c>
      <c r="AN220" s="32">
        <f t="shared" si="240"/>
        <v>1.00010821220536</v>
      </c>
      <c r="AO220" s="32">
        <f t="shared" si="241"/>
        <v>-0.0147107068510897</v>
      </c>
      <c r="AP220" s="30" t="str">
        <f t="shared" si="242"/>
        <v>29,4316852852903-37,3184423558444i</v>
      </c>
      <c r="AQ220" s="32">
        <f t="shared" si="243"/>
        <v>33.5389512869418</v>
      </c>
      <c r="AR220" s="31">
        <f t="shared" si="244"/>
        <v>-51.7384524287007</v>
      </c>
      <c r="AS220" t="str">
        <f t="shared" si="220"/>
        <v>-0,000338461538461538</v>
      </c>
      <c r="AT220" t="str">
        <f t="shared" si="221"/>
        <v>0,00115173325621852i</v>
      </c>
      <c r="AU220">
        <f t="shared" si="245"/>
        <v>0.00115173325621852</v>
      </c>
      <c r="AV220">
        <f t="shared" si="246"/>
        <v>1.5707963267949</v>
      </c>
      <c r="AW220" t="str">
        <f t="shared" si="222"/>
        <v>1+0,186922043785108i</v>
      </c>
      <c r="AX220">
        <f t="shared" si="247"/>
        <v>1.01731993514961</v>
      </c>
      <c r="AY220">
        <f t="shared" si="248"/>
        <v>0.184789564085053</v>
      </c>
      <c r="AZ220" t="str">
        <f t="shared" si="223"/>
        <v>1+1,63166707154474i</v>
      </c>
      <c r="BA220">
        <f t="shared" si="249"/>
        <v>1.91372344720009</v>
      </c>
      <c r="BB220">
        <f t="shared" si="250"/>
        <v>1.02096720733967</v>
      </c>
      <c r="BC220" s="30" t="str">
        <f t="shared" si="251"/>
        <v>-0,410235760685983+0,370553571098236i</v>
      </c>
      <c r="BD220" s="32">
        <f t="shared" si="252"/>
        <v>-5.1484192006506</v>
      </c>
      <c r="BE220" s="31">
        <f t="shared" si="253"/>
        <v>137.909449881685</v>
      </c>
      <c r="BF220" s="30" t="str">
        <f t="shared" si="254"/>
        <v>1,40799506374026+3,59121141166422i</v>
      </c>
      <c r="BG220" s="68">
        <f t="shared" si="255"/>
        <v>11.7258102630265</v>
      </c>
      <c r="BH220" s="31">
        <f t="shared" si="256"/>
        <v>68.5914989644921</v>
      </c>
      <c r="BI220" s="30" t="str">
        <f t="shared" si="209"/>
        <v>1,75455228150029+26,2153756733696i</v>
      </c>
      <c r="BJ220" s="68">
        <f t="shared" si="257"/>
        <v>28.3905320862912</v>
      </c>
      <c r="BK220" s="31">
        <f t="shared" si="210"/>
        <v>86.1709974529848</v>
      </c>
      <c r="BL220" s="32">
        <f t="shared" si="258"/>
        <v>11.7258102630265</v>
      </c>
      <c r="BM220" s="31">
        <f t="shared" si="259"/>
        <v>68.5914989644921</v>
      </c>
      <c r="BO220">
        <f t="shared" si="260"/>
        <v>0</v>
      </c>
      <c r="BP220">
        <f t="shared" si="261"/>
        <v>0</v>
      </c>
    </row>
    <row r="221" spans="14:68">
      <c r="N221" s="7">
        <v>3</v>
      </c>
      <c r="O221" s="18">
        <f t="shared" si="262"/>
        <v>1071.51930523761</v>
      </c>
      <c r="P221" s="86" t="str">
        <f t="shared" si="212"/>
        <v>15</v>
      </c>
      <c r="Q221" s="4" t="str">
        <f t="shared" si="213"/>
        <v>1+1,96366168688323i</v>
      </c>
      <c r="R221" s="4">
        <f t="shared" si="224"/>
        <v>2.2036259257263</v>
      </c>
      <c r="S221" s="4">
        <f t="shared" si="225"/>
        <v>1.09977399290069</v>
      </c>
      <c r="T221" s="4" t="str">
        <f t="shared" si="214"/>
        <v>1+0,00134651087100564i</v>
      </c>
      <c r="U221" s="4">
        <f t="shared" si="226"/>
        <v>1.00000090654535</v>
      </c>
      <c r="V221" s="4">
        <f t="shared" si="227"/>
        <v>0.00134651005722404</v>
      </c>
      <c r="W221" t="str">
        <f t="shared" si="215"/>
        <v>1-0,117819701212994i</v>
      </c>
      <c r="X221" s="4">
        <f t="shared" si="228"/>
        <v>1.00691681979889</v>
      </c>
      <c r="Y221" s="4">
        <f t="shared" si="229"/>
        <v>-0.117279026650633</v>
      </c>
      <c r="Z221" t="str">
        <f t="shared" si="216"/>
        <v>0,999991835352025+0,00625165761538332i</v>
      </c>
      <c r="AA221" s="4">
        <f t="shared" si="230"/>
        <v>1.00001137693211</v>
      </c>
      <c r="AB221" s="4">
        <f t="shared" si="231"/>
        <v>0.00625162721332261</v>
      </c>
      <c r="AC221" s="67" t="str">
        <f t="shared" si="232"/>
        <v>2,34273073364675-6,44116202996157i</v>
      </c>
      <c r="AD221" s="68">
        <f t="shared" si="233"/>
        <v>16.7188486823585</v>
      </c>
      <c r="AE221" s="31">
        <f t="shared" si="234"/>
        <v>-70.0130439750054</v>
      </c>
      <c r="AF221" s="32" t="str">
        <f t="shared" si="235"/>
        <v>75,4669735059805</v>
      </c>
      <c r="AG221" s="32" t="str">
        <f t="shared" si="217"/>
        <v>1+1,26235394156779i</v>
      </c>
      <c r="AH221" s="32">
        <f t="shared" si="236"/>
        <v>1.61044635855769</v>
      </c>
      <c r="AI221" s="32">
        <f t="shared" si="237"/>
        <v>0.900847519132173</v>
      </c>
      <c r="AJ221" s="32" t="str">
        <f t="shared" si="218"/>
        <v>1+0,00134651087100564i</v>
      </c>
      <c r="AK221" s="32">
        <f t="shared" si="238"/>
        <v>1.00000090654535</v>
      </c>
      <c r="AL221" s="32">
        <f t="shared" si="239"/>
        <v>0.00134651005722404</v>
      </c>
      <c r="AM221" s="32" t="str">
        <f t="shared" si="219"/>
        <v>1-0,0150544492000553i</v>
      </c>
      <c r="AN221" s="32">
        <f t="shared" si="240"/>
        <v>1.00011331180058</v>
      </c>
      <c r="AO221" s="32">
        <f t="shared" si="241"/>
        <v>-0.0150533120590873</v>
      </c>
      <c r="AP221" s="30" t="str">
        <f t="shared" si="242"/>
        <v>28,5951535926234-37,1317014660845i</v>
      </c>
      <c r="AQ221" s="32">
        <f t="shared" si="243"/>
        <v>33.4172054293632</v>
      </c>
      <c r="AR221" s="31">
        <f t="shared" si="244"/>
        <v>-52.4001027364324</v>
      </c>
      <c r="AS221" t="str">
        <f t="shared" si="220"/>
        <v>-0,000338461538461538</v>
      </c>
      <c r="AT221" t="str">
        <f t="shared" si="221"/>
        <v>0,00117856057006511i</v>
      </c>
      <c r="AU221">
        <f t="shared" si="245"/>
        <v>0.00117856057006511</v>
      </c>
      <c r="AV221">
        <f t="shared" si="246"/>
        <v>1.5707963267949</v>
      </c>
      <c r="AW221" t="str">
        <f t="shared" si="222"/>
        <v>1+0,191276017508097i</v>
      </c>
      <c r="AX221">
        <f t="shared" si="247"/>
        <v>1.01812892841416</v>
      </c>
      <c r="AY221">
        <f t="shared" si="248"/>
        <v>0.188993216034097</v>
      </c>
      <c r="AZ221" t="str">
        <f t="shared" si="223"/>
        <v>1+1,669673480047i</v>
      </c>
      <c r="BA221">
        <f t="shared" si="249"/>
        <v>1.94622956764413</v>
      </c>
      <c r="BB221">
        <f t="shared" si="250"/>
        <v>1.03117169312698</v>
      </c>
      <c r="BC221" s="30" t="str">
        <f t="shared" si="251"/>
        <v>-0,409584082681657+0,365525745238395i</v>
      </c>
      <c r="BD221" s="32">
        <f t="shared" si="252"/>
        <v>-5.20902588475933</v>
      </c>
      <c r="BE221" s="31">
        <f t="shared" si="253"/>
        <v>138.253272334177</v>
      </c>
      <c r="BF221" s="30" t="str">
        <f t="shared" si="254"/>
        <v>1,39486533269213+3,49452583875485i</v>
      </c>
      <c r="BG221" s="68">
        <f t="shared" si="255"/>
        <v>11.5098227975992</v>
      </c>
      <c r="BH221" s="31">
        <f t="shared" si="256"/>
        <v>68.2402283591718</v>
      </c>
      <c r="BI221" s="30" t="str">
        <f t="shared" si="209"/>
        <v>1,86047309698439+25,6608187105454i</v>
      </c>
      <c r="BJ221" s="68">
        <f t="shared" si="257"/>
        <v>28.2081795446038</v>
      </c>
      <c r="BK221" s="31">
        <f t="shared" si="210"/>
        <v>85.8531695977449</v>
      </c>
      <c r="BL221" s="32">
        <f t="shared" si="258"/>
        <v>11.5098227975992</v>
      </c>
      <c r="BM221" s="31">
        <f t="shared" si="259"/>
        <v>68.2402283591718</v>
      </c>
      <c r="BO221">
        <f t="shared" si="260"/>
        <v>0</v>
      </c>
      <c r="BP221">
        <f t="shared" si="261"/>
        <v>0</v>
      </c>
    </row>
    <row r="222" spans="14:68">
      <c r="N222" s="7">
        <v>4</v>
      </c>
      <c r="O222" s="18">
        <f t="shared" si="262"/>
        <v>1096.47819614319</v>
      </c>
      <c r="P222" s="86" t="str">
        <f t="shared" si="212"/>
        <v>15</v>
      </c>
      <c r="Q222" s="4" t="str">
        <f t="shared" si="213"/>
        <v>1+2,00940124339781i</v>
      </c>
      <c r="R222" s="4">
        <f t="shared" si="224"/>
        <v>2.2444806430372</v>
      </c>
      <c r="S222" s="4">
        <f t="shared" si="225"/>
        <v>1.10902192010213</v>
      </c>
      <c r="T222" s="4" t="str">
        <f t="shared" si="214"/>
        <v>1+0,00137787513832993i</v>
      </c>
      <c r="U222" s="4">
        <f t="shared" si="226"/>
        <v>1.0000009492695</v>
      </c>
      <c r="V222" s="4">
        <f t="shared" si="227"/>
        <v>0.00137787426634728</v>
      </c>
      <c r="W222" t="str">
        <f t="shared" si="215"/>
        <v>1-0,120564074603869i</v>
      </c>
      <c r="X222" s="4">
        <f t="shared" si="228"/>
        <v>1.00724162745842</v>
      </c>
      <c r="Y222" s="4">
        <f t="shared" si="229"/>
        <v>-0.119984956093895</v>
      </c>
      <c r="Z222" t="str">
        <f t="shared" si="216"/>
        <v>0,999991450564021+0,00639727742796036i</v>
      </c>
      <c r="AA222" s="4">
        <f t="shared" si="230"/>
        <v>1.00001191310885</v>
      </c>
      <c r="AB222" s="4">
        <f t="shared" si="231"/>
        <v>0.00639724485158214</v>
      </c>
      <c r="AC222" s="67" t="str">
        <f t="shared" si="232"/>
        <v>2,22432044706365-6,35326019987404i</v>
      </c>
      <c r="AD222" s="68">
        <f t="shared" si="233"/>
        <v>16.5620859866198</v>
      </c>
      <c r="AE222" s="31">
        <f t="shared" si="234"/>
        <v>-70.7044957489353</v>
      </c>
      <c r="AF222" s="32" t="str">
        <f t="shared" si="235"/>
        <v>75,4669735059805</v>
      </c>
      <c r="AG222" s="32" t="str">
        <f t="shared" si="217"/>
        <v>1+1,29175794218431i</v>
      </c>
      <c r="AH222" s="32">
        <f t="shared" si="236"/>
        <v>1.63359682333073</v>
      </c>
      <c r="AI222" s="32">
        <f t="shared" si="237"/>
        <v>0.912024495215707</v>
      </c>
      <c r="AJ222" s="32" t="str">
        <f t="shared" si="218"/>
        <v>1+0,00137787513832993i</v>
      </c>
      <c r="AK222" s="32">
        <f t="shared" si="238"/>
        <v>1.0000009492695</v>
      </c>
      <c r="AL222" s="32">
        <f t="shared" si="239"/>
        <v>0.00137787426634728</v>
      </c>
      <c r="AM222" s="32" t="str">
        <f t="shared" si="219"/>
        <v>1-0,0154051123690632i</v>
      </c>
      <c r="AN222" s="32">
        <f t="shared" si="240"/>
        <v>1.00011865170444</v>
      </c>
      <c r="AO222" s="32">
        <f t="shared" si="241"/>
        <v>-0.0154038939083704</v>
      </c>
      <c r="AP222" s="30" t="str">
        <f t="shared" si="242"/>
        <v>27,7673903905979-36,9273402112409i</v>
      </c>
      <c r="AQ222" s="32">
        <f t="shared" si="243"/>
        <v>33.2932798470537</v>
      </c>
      <c r="AR222" s="31">
        <f t="shared" si="244"/>
        <v>-53.0587861172648</v>
      </c>
      <c r="AS222" t="str">
        <f t="shared" si="220"/>
        <v>-0,000338461538461538</v>
      </c>
      <c r="AT222" t="str">
        <f t="shared" si="221"/>
        <v>0,00120601277232604i</v>
      </c>
      <c r="AU222">
        <f t="shared" si="245"/>
        <v>0.00120601277232604</v>
      </c>
      <c r="AV222">
        <f t="shared" si="246"/>
        <v>1.5707963267949</v>
      </c>
      <c r="AW222" t="str">
        <f t="shared" si="222"/>
        <v>1+0,195731408307407i</v>
      </c>
      <c r="AX222">
        <f t="shared" si="247"/>
        <v>1.01897535995627</v>
      </c>
      <c r="AY222">
        <f t="shared" si="248"/>
        <v>0.193287795852759</v>
      </c>
      <c r="AZ222" t="str">
        <f t="shared" si="223"/>
        <v>1+1,70856517152911i</v>
      </c>
      <c r="BA222">
        <f t="shared" si="249"/>
        <v>1.97969566988522</v>
      </c>
      <c r="BB222">
        <f t="shared" si="250"/>
        <v>1.04126588853758</v>
      </c>
      <c r="BC222" s="30" t="str">
        <f t="shared" si="251"/>
        <v>-0,408903907458386+0,360680407297099i</v>
      </c>
      <c r="BD222" s="32">
        <f t="shared" si="252"/>
        <v>-5.26815664536924</v>
      </c>
      <c r="BE222" s="31">
        <f t="shared" si="253"/>
        <v>138.585565830394</v>
      </c>
      <c r="BF222" s="30" t="str">
        <f t="shared" si="254"/>
        <v>1,38196315431111+3,40014172563452i</v>
      </c>
      <c r="BG222" s="68">
        <f t="shared" si="255"/>
        <v>11.2939293412505</v>
      </c>
      <c r="BH222" s="31">
        <f t="shared" si="256"/>
        <v>67.8810700814585</v>
      </c>
      <c r="BI222" s="30" t="str">
        <f t="shared" si="209"/>
        <v>1,96477367715099+25,11488738008i</v>
      </c>
      <c r="BJ222" s="68">
        <f t="shared" si="257"/>
        <v>28.0251232016845</v>
      </c>
      <c r="BK222" s="31">
        <f t="shared" si="210"/>
        <v>85.526779713129</v>
      </c>
      <c r="BL222" s="32">
        <f t="shared" si="258"/>
        <v>11.2939293412505</v>
      </c>
      <c r="BM222" s="31">
        <f t="shared" si="259"/>
        <v>67.8810700814585</v>
      </c>
      <c r="BO222">
        <f t="shared" si="260"/>
        <v>0</v>
      </c>
      <c r="BP222">
        <f t="shared" si="261"/>
        <v>0</v>
      </c>
    </row>
    <row r="223" spans="14:68">
      <c r="N223" s="7">
        <v>5</v>
      </c>
      <c r="O223" s="18">
        <f t="shared" si="262"/>
        <v>1122.01845430196</v>
      </c>
      <c r="P223" s="86" t="str">
        <f t="shared" si="212"/>
        <v>15</v>
      </c>
      <c r="Q223" s="4" t="str">
        <f t="shared" si="213"/>
        <v>1+2,05620621104921i</v>
      </c>
      <c r="R223" s="4">
        <f t="shared" si="224"/>
        <v>2.28647851123892</v>
      </c>
      <c r="S223" s="4">
        <f t="shared" si="225"/>
        <v>1.11814234311879</v>
      </c>
      <c r="T223" s="4" t="str">
        <f t="shared" si="214"/>
        <v>1+0,00140996997329089i</v>
      </c>
      <c r="U223" s="4">
        <f t="shared" si="226"/>
        <v>1.00000099400717</v>
      </c>
      <c r="V223" s="4">
        <f t="shared" si="227"/>
        <v>0.0014099690389447</v>
      </c>
      <c r="W223" t="str">
        <f t="shared" si="215"/>
        <v>1-0,123372372662953i</v>
      </c>
      <c r="X223" s="4">
        <f t="shared" si="228"/>
        <v>1.00758163060691</v>
      </c>
      <c r="Y223" s="4">
        <f t="shared" si="229"/>
        <v>-0.122752087903147</v>
      </c>
      <c r="Z223" t="str">
        <f t="shared" si="216"/>
        <v>0,999991047641516+0,00654628916170768i</v>
      </c>
      <c r="AA223" s="4">
        <f t="shared" si="230"/>
        <v>1.00001247455468</v>
      </c>
      <c r="AB223" s="4">
        <f t="shared" si="231"/>
        <v>0.00654625425550832</v>
      </c>
      <c r="AC223" s="67" t="str">
        <f t="shared" si="232"/>
        <v>2,10915275827843-6,2644359908849i</v>
      </c>
      <c r="AD223" s="68">
        <f t="shared" si="233"/>
        <v>16.4039878039711</v>
      </c>
      <c r="AE223" s="31">
        <f t="shared" si="234"/>
        <v>-71.3923011841289</v>
      </c>
      <c r="AF223" s="32" t="str">
        <f t="shared" si="235"/>
        <v>75,4669735059805</v>
      </c>
      <c r="AG223" s="32" t="str">
        <f t="shared" si="217"/>
        <v>1+1,32184684996021i</v>
      </c>
      <c r="AH223" s="32">
        <f t="shared" si="236"/>
        <v>1.65749180835072</v>
      </c>
      <c r="AI223" s="32">
        <f t="shared" si="237"/>
        <v>0.923137182439403</v>
      </c>
      <c r="AJ223" s="32" t="str">
        <f t="shared" si="218"/>
        <v>1+0,00140996997329089i</v>
      </c>
      <c r="AK223" s="32">
        <f t="shared" si="238"/>
        <v>1.00000099400717</v>
      </c>
      <c r="AL223" s="32">
        <f t="shared" si="239"/>
        <v>0.0014099690389447</v>
      </c>
      <c r="AM223" s="32" t="str">
        <f t="shared" si="219"/>
        <v>1-0,01576394353256i</v>
      </c>
      <c r="AN223" s="32">
        <f t="shared" si="240"/>
        <v>1.00012424323966</v>
      </c>
      <c r="AO223" s="32">
        <f t="shared" si="241"/>
        <v>-0.0157626379371646</v>
      </c>
      <c r="AP223" s="30" t="str">
        <f t="shared" si="242"/>
        <v>26,949121835664-36,7058627499692i</v>
      </c>
      <c r="AQ223" s="32">
        <f t="shared" si="243"/>
        <v>33.1671985873412</v>
      </c>
      <c r="AR223" s="31">
        <f t="shared" si="244"/>
        <v>-53.7142118179927</v>
      </c>
      <c r="AS223" t="str">
        <f t="shared" si="220"/>
        <v>-0,000338461538461538</v>
      </c>
      <c r="AT223" t="str">
        <f t="shared" si="221"/>
        <v>0,00123410441852232i</v>
      </c>
      <c r="AU223">
        <f t="shared" si="245"/>
        <v>0.00123410441852232</v>
      </c>
      <c r="AV223">
        <f t="shared" si="246"/>
        <v>1.5707963267949</v>
      </c>
      <c r="AW223" t="str">
        <f t="shared" si="222"/>
        <v>1+0,200290578490212i</v>
      </c>
      <c r="AX223">
        <f t="shared" si="247"/>
        <v>1.01986092965264</v>
      </c>
      <c r="AY223">
        <f t="shared" si="248"/>
        <v>0.197674946624779</v>
      </c>
      <c r="AZ223" t="str">
        <f t="shared" si="223"/>
        <v>1+1,7483627668807i</v>
      </c>
      <c r="BA223">
        <f t="shared" si="249"/>
        <v>2.01414308444428</v>
      </c>
      <c r="BB223">
        <f t="shared" si="250"/>
        <v>1.05124691690868</v>
      </c>
      <c r="BC223" s="30" t="str">
        <f t="shared" si="251"/>
        <v>-0,408194093633794+0,356014239068288i</v>
      </c>
      <c r="BD223" s="32">
        <f t="shared" si="252"/>
        <v>-5.32586436067668</v>
      </c>
      <c r="BE223" s="31">
        <f t="shared" si="253"/>
        <v>138.906071407934</v>
      </c>
      <c r="BF223" s="30" t="str">
        <f t="shared" si="254"/>
        <v>1,3692847139862+3,30799418574346i</v>
      </c>
      <c r="BG223" s="68">
        <f t="shared" si="255"/>
        <v>11.0781234432944</v>
      </c>
      <c r="BH223" s="31">
        <f t="shared" si="256"/>
        <v>67.5137702238048</v>
      </c>
      <c r="BI223" s="30" t="str">
        <f t="shared" si="209"/>
        <v>2,06733743433975+24,5773874801526i</v>
      </c>
      <c r="BJ223" s="68">
        <f t="shared" si="257"/>
        <v>27.8413342266645</v>
      </c>
      <c r="BK223" s="31">
        <f t="shared" si="210"/>
        <v>85.1918595899409</v>
      </c>
      <c r="BL223" s="32">
        <f t="shared" si="258"/>
        <v>11.0781234432944</v>
      </c>
      <c r="BM223" s="31">
        <f t="shared" si="259"/>
        <v>67.5137702238048</v>
      </c>
      <c r="BO223">
        <f t="shared" si="260"/>
        <v>0</v>
      </c>
      <c r="BP223">
        <f t="shared" si="261"/>
        <v>0</v>
      </c>
    </row>
    <row r="224" spans="14:68">
      <c r="N224" s="7">
        <v>6</v>
      </c>
      <c r="O224" s="18">
        <f t="shared" si="262"/>
        <v>1148.15362149688</v>
      </c>
      <c r="P224" s="86" t="str">
        <f t="shared" si="212"/>
        <v>15</v>
      </c>
      <c r="Q224" s="4" t="str">
        <f t="shared" si="213"/>
        <v>1+2,10410140645082i</v>
      </c>
      <c r="R224" s="4">
        <f t="shared" si="224"/>
        <v>2.32964433522122</v>
      </c>
      <c r="S224" s="4">
        <f t="shared" si="225"/>
        <v>1.12713402750962</v>
      </c>
      <c r="T224" s="4" t="str">
        <f t="shared" si="214"/>
        <v>1+0,00144281239299485i</v>
      </c>
      <c r="U224" s="4">
        <f t="shared" si="226"/>
        <v>1.00000104085326</v>
      </c>
      <c r="V224" s="4">
        <f t="shared" si="227"/>
        <v>0.00144281139182493</v>
      </c>
      <c r="W224" t="str">
        <f t="shared" si="215"/>
        <v>1-0,126246084387049i</v>
      </c>
      <c r="X224" s="4">
        <f t="shared" si="228"/>
        <v>1.00793753468311</v>
      </c>
      <c r="Y224" s="4">
        <f t="shared" si="229"/>
        <v>-0.125581719653582</v>
      </c>
      <c r="Z224" t="str">
        <f t="shared" si="216"/>
        <v>0,999990625729859+0,00669877182461893i</v>
      </c>
      <c r="AA224" s="4">
        <f t="shared" si="230"/>
        <v>1.00001306246046</v>
      </c>
      <c r="AB224" s="4">
        <f t="shared" si="231"/>
        <v>0.00669873442197353</v>
      </c>
      <c r="AC224" s="67" t="str">
        <f t="shared" si="232"/>
        <v>1,99721339522951-6,17481939351423i</v>
      </c>
      <c r="AD224" s="68">
        <f t="shared" si="233"/>
        <v>16.2446006737432</v>
      </c>
      <c r="AE224" s="31">
        <f t="shared" si="234"/>
        <v>-72.0764674491021</v>
      </c>
      <c r="AF224" s="32" t="str">
        <f t="shared" si="235"/>
        <v>75,4669735059805</v>
      </c>
      <c r="AG224" s="32" t="str">
        <f t="shared" si="217"/>
        <v>1+1,35263661843267i</v>
      </c>
      <c r="AH224" s="32">
        <f t="shared" si="236"/>
        <v>1.68214916744175</v>
      </c>
      <c r="AI224" s="32">
        <f t="shared" si="237"/>
        <v>0.934180494762695</v>
      </c>
      <c r="AJ224" s="32" t="str">
        <f t="shared" si="218"/>
        <v>1+0,00144281239299485i</v>
      </c>
      <c r="AK224" s="32">
        <f t="shared" si="238"/>
        <v>1.00000104085326</v>
      </c>
      <c r="AL224" s="32">
        <f t="shared" si="239"/>
        <v>0.00144281139182493</v>
      </c>
      <c r="AM224" s="32" t="str">
        <f t="shared" si="219"/>
        <v>1-0,0161311329475781i</v>
      </c>
      <c r="AN224" s="32">
        <f t="shared" si="240"/>
        <v>1.00013009826231</v>
      </c>
      <c r="AO224" s="32">
        <f t="shared" si="241"/>
        <v>-0.0161297339867355</v>
      </c>
      <c r="AP224" s="30" t="str">
        <f t="shared" si="242"/>
        <v>26,1410376407938-36,4678078549046i</v>
      </c>
      <c r="AQ224" s="32">
        <f t="shared" si="243"/>
        <v>33.0389875586838</v>
      </c>
      <c r="AR224" s="31">
        <f t="shared" si="244"/>
        <v>-54.3660983320693</v>
      </c>
      <c r="AS224" t="str">
        <f t="shared" si="220"/>
        <v>-0,000338461538461538</v>
      </c>
      <c r="AT224" t="str">
        <f t="shared" si="221"/>
        <v>0,0012628504032166i</v>
      </c>
      <c r="AU224">
        <f t="shared" si="245"/>
        <v>0.0012628504032166</v>
      </c>
      <c r="AV224">
        <f t="shared" si="246"/>
        <v>1.5707963267949</v>
      </c>
      <c r="AW224" t="str">
        <f t="shared" si="222"/>
        <v>1+0,204955945388892i</v>
      </c>
      <c r="AX224">
        <f t="shared" si="247"/>
        <v>1.02078741153594</v>
      </c>
      <c r="AY224">
        <f t="shared" si="248"/>
        <v>0.202156318633391</v>
      </c>
      <c r="AZ224" t="str">
        <f t="shared" si="223"/>
        <v>1+1,78908736731361i</v>
      </c>
      <c r="BA224">
        <f t="shared" si="249"/>
        <v>2.04959352259933</v>
      </c>
      <c r="BB224">
        <f t="shared" si="250"/>
        <v>1.06111211515294</v>
      </c>
      <c r="BC224" s="30" t="str">
        <f t="shared" si="251"/>
        <v>-0,407453463791703+0,351523970671493i</v>
      </c>
      <c r="BD224" s="32">
        <f t="shared" si="252"/>
        <v>-5.38220297634392</v>
      </c>
      <c r="BE224" s="31">
        <f t="shared" si="253"/>
        <v>139.214541928868</v>
      </c>
      <c r="BF224" s="30" t="str">
        <f t="shared" si="254"/>
        <v>1,35682551557001+3,21801993314493i</v>
      </c>
      <c r="BG224" s="68">
        <f t="shared" si="255"/>
        <v>10.8623976973993</v>
      </c>
      <c r="BH224" s="31">
        <f t="shared" si="256"/>
        <v>67.1380744797657</v>
      </c>
      <c r="BI224" s="30" t="str">
        <f t="shared" si="209"/>
        <v>2,1680522849904+24,0481359763359i</v>
      </c>
      <c r="BJ224" s="68">
        <f t="shared" si="257"/>
        <v>27.6567845823399</v>
      </c>
      <c r="BK224" s="31">
        <f t="shared" si="210"/>
        <v>84.8484435967985</v>
      </c>
      <c r="BL224" s="32">
        <f t="shared" si="258"/>
        <v>10.8623976973993</v>
      </c>
      <c r="BM224" s="31">
        <f t="shared" si="259"/>
        <v>67.1380744797657</v>
      </c>
      <c r="BO224">
        <f t="shared" si="260"/>
        <v>0</v>
      </c>
      <c r="BP224">
        <f t="shared" si="261"/>
        <v>0</v>
      </c>
    </row>
    <row r="225" spans="14:68">
      <c r="N225" s="7">
        <v>7</v>
      </c>
      <c r="O225" s="18">
        <f t="shared" si="262"/>
        <v>1174.89755493953</v>
      </c>
      <c r="P225" s="86" t="str">
        <f t="shared" si="212"/>
        <v>15</v>
      </c>
      <c r="Q225" s="4" t="str">
        <f t="shared" si="213"/>
        <v>1+2,1531122242692i</v>
      </c>
      <c r="R225" s="4">
        <f t="shared" si="224"/>
        <v>2.37400342255386</v>
      </c>
      <c r="S225" s="4">
        <f t="shared" si="225"/>
        <v>1.13599592394629</v>
      </c>
      <c r="T225" s="4" t="str">
        <f t="shared" si="214"/>
        <v>1+0,00147641981092745i</v>
      </c>
      <c r="U225" s="4">
        <f t="shared" si="226"/>
        <v>1.00000108990714</v>
      </c>
      <c r="V225" s="4">
        <f t="shared" si="227"/>
        <v>0.00147641873815461</v>
      </c>
      <c r="W225" t="str">
        <f t="shared" si="215"/>
        <v>1-0,129186733456152i</v>
      </c>
      <c r="X225" s="4">
        <f t="shared" si="228"/>
        <v>1.00831007735769</v>
      </c>
      <c r="Y225" s="4">
        <f t="shared" si="229"/>
        <v>-0.128475170305822</v>
      </c>
      <c r="Z225" t="str">
        <f t="shared" si="216"/>
        <v>0,999990183934118+0,0068548062650203i</v>
      </c>
      <c r="AA225" s="4">
        <f t="shared" si="230"/>
        <v>1.00001367807322</v>
      </c>
      <c r="AB225" s="4">
        <f t="shared" si="231"/>
        <v>0.00685476618738735</v>
      </c>
      <c r="AC225" s="67" t="str">
        <f t="shared" si="232"/>
        <v>1,88848222337161-6,08453654993541i</v>
      </c>
      <c r="AD225" s="68">
        <f t="shared" si="233"/>
        <v>16.0839711814839</v>
      </c>
      <c r="AE225" s="31">
        <f t="shared" si="234"/>
        <v>-72.7570136265306</v>
      </c>
      <c r="AF225" s="32" t="str">
        <f t="shared" si="235"/>
        <v>75,4669735059805</v>
      </c>
      <c r="AG225" s="32" t="str">
        <f t="shared" si="217"/>
        <v>1+1,38414357274449i</v>
      </c>
      <c r="AH225" s="32">
        <f t="shared" si="236"/>
        <v>1.70758701973571</v>
      </c>
      <c r="AI225" s="32">
        <f t="shared" si="237"/>
        <v>0.945149513602598</v>
      </c>
      <c r="AJ225" s="32" t="str">
        <f t="shared" si="218"/>
        <v>1+0,00147641981092745i</v>
      </c>
      <c r="AK225" s="32">
        <f t="shared" si="238"/>
        <v>1.00000108990714</v>
      </c>
      <c r="AL225" s="32">
        <f t="shared" si="239"/>
        <v>0.00147641873815461</v>
      </c>
      <c r="AM225" s="32" t="str">
        <f t="shared" si="219"/>
        <v>1-0,0165068753028059i</v>
      </c>
      <c r="AN225" s="32">
        <f t="shared" si="240"/>
        <v>1.00013622918694</v>
      </c>
      <c r="AO225" s="32">
        <f t="shared" si="241"/>
        <v>-0.0165053763002832</v>
      </c>
      <c r="AP225" s="30" t="str">
        <f t="shared" si="242"/>
        <v>25,3437891526892-36,2137458510747i</v>
      </c>
      <c r="AQ225" s="32">
        <f t="shared" si="243"/>
        <v>32.9086744327613</v>
      </c>
      <c r="AR225" s="31">
        <f t="shared" si="244"/>
        <v>-55.0141739770627</v>
      </c>
      <c r="AS225" t="str">
        <f t="shared" si="220"/>
        <v>-0,000338461538461538</v>
      </c>
      <c r="AT225" t="str">
        <f t="shared" si="221"/>
        <v>0,00129226596791047i</v>
      </c>
      <c r="AU225">
        <f t="shared" si="245"/>
        <v>0.00129226596791047</v>
      </c>
      <c r="AV225">
        <f t="shared" si="246"/>
        <v>1.5707963267949</v>
      </c>
      <c r="AW225" t="str">
        <f t="shared" si="222"/>
        <v>1+0,20972998264273i</v>
      </c>
      <c r="AX225">
        <f t="shared" si="247"/>
        <v>1.02175665675312</v>
      </c>
      <c r="AY225">
        <f t="shared" si="248"/>
        <v>0.206733567635854</v>
      </c>
      <c r="AZ225" t="str">
        <f t="shared" si="223"/>
        <v>1+1,83076056555004i</v>
      </c>
      <c r="BA225">
        <f t="shared" si="249"/>
        <v>2.08606909002868</v>
      </c>
      <c r="BB225">
        <f t="shared" si="250"/>
        <v>1.07085903243801</v>
      </c>
      <c r="BC225" s="30" t="str">
        <f t="shared" si="251"/>
        <v>-0,406680804263796+0,347206376247056i</v>
      </c>
      <c r="BD225" s="32">
        <f t="shared" si="252"/>
        <v>-5.43722741691547</v>
      </c>
      <c r="BE225" s="31">
        <f t="shared" si="253"/>
        <v>139.510742102944</v>
      </c>
      <c r="BF225" s="30" t="str">
        <f t="shared" si="254"/>
        <v>1,34458041720719+3,13015728708404i</v>
      </c>
      <c r="BG225" s="68">
        <f t="shared" si="255"/>
        <v>10.6467437645685</v>
      </c>
      <c r="BH225" s="31">
        <f t="shared" si="256"/>
        <v>66.7537284764137</v>
      </c>
      <c r="BI225" s="30" t="str">
        <f t="shared" si="209"/>
        <v>2,26681091157579+23,5269604801944i</v>
      </c>
      <c r="BJ225" s="68">
        <f t="shared" si="257"/>
        <v>27.4714470158458</v>
      </c>
      <c r="BK225" s="31">
        <f t="shared" si="210"/>
        <v>84.4965681258816</v>
      </c>
      <c r="BL225" s="32">
        <f t="shared" si="258"/>
        <v>10.6467437645685</v>
      </c>
      <c r="BM225" s="31">
        <f t="shared" si="259"/>
        <v>66.7537284764137</v>
      </c>
      <c r="BO225">
        <f t="shared" si="260"/>
        <v>0</v>
      </c>
      <c r="BP225">
        <f t="shared" si="261"/>
        <v>0</v>
      </c>
    </row>
    <row r="226" spans="14:68">
      <c r="N226" s="7">
        <v>8</v>
      </c>
      <c r="O226" s="18">
        <f t="shared" si="262"/>
        <v>1202.26443461741</v>
      </c>
      <c r="P226" s="86" t="str">
        <f t="shared" si="212"/>
        <v>15</v>
      </c>
      <c r="Q226" s="4" t="str">
        <f t="shared" si="213"/>
        <v>1+2,20326465068871i</v>
      </c>
      <c r="R226" s="4">
        <f t="shared" si="224"/>
        <v>2.41958160039591</v>
      </c>
      <c r="S226" s="4">
        <f t="shared" si="225"/>
        <v>1.14472716248697</v>
      </c>
      <c r="T226" s="4" t="str">
        <f t="shared" si="214"/>
        <v>1+0,00151081004618654i</v>
      </c>
      <c r="U226" s="4">
        <f t="shared" si="226"/>
        <v>1.00000114127285</v>
      </c>
      <c r="V226" s="4">
        <f t="shared" si="227"/>
        <v>0.0015108088966898</v>
      </c>
      <c r="W226" t="str">
        <f t="shared" si="215"/>
        <v>1-0,132195879041323i</v>
      </c>
      <c r="X226" s="4">
        <f t="shared" si="228"/>
        <v>1.00870002995713</v>
      </c>
      <c r="Y226" s="4">
        <f t="shared" si="229"/>
        <v>-0.131433780109423</v>
      </c>
      <c r="Z226" t="str">
        <f t="shared" si="216"/>
        <v>0,999989721317186+0,0070144752144375i</v>
      </c>
      <c r="AA226" s="4">
        <f t="shared" si="230"/>
        <v>1.00001432269871</v>
      </c>
      <c r="AB226" s="4">
        <f t="shared" si="231"/>
        <v>0.00701443227050663</v>
      </c>
      <c r="AC226" s="67" t="str">
        <f t="shared" si="232"/>
        <v>1,78293363987523-5,99370952598869i</v>
      </c>
      <c r="AD226" s="68">
        <f t="shared" si="233"/>
        <v>15.9221458986298</v>
      </c>
      <c r="AE226" s="31">
        <f t="shared" si="234"/>
        <v>-73.4339703815593</v>
      </c>
      <c r="AF226" s="32" t="str">
        <f t="shared" si="235"/>
        <v>75,4669735059805</v>
      </c>
      <c r="AG226" s="32" t="str">
        <f t="shared" si="217"/>
        <v>1+1,41638441829988i</v>
      </c>
      <c r="AH226" s="32">
        <f t="shared" si="236"/>
        <v>1.73382375701877</v>
      </c>
      <c r="AI226" s="32">
        <f t="shared" si="237"/>
        <v>0.956039496881813</v>
      </c>
      <c r="AJ226" s="32" t="str">
        <f t="shared" si="218"/>
        <v>1+0,00151081004618654i</v>
      </c>
      <c r="AK226" s="32">
        <f t="shared" si="238"/>
        <v>1.00000114127285</v>
      </c>
      <c r="AL226" s="32">
        <f t="shared" si="239"/>
        <v>0.0015108088966898</v>
      </c>
      <c r="AM226" s="32" t="str">
        <f t="shared" si="219"/>
        <v>1-0,0168913698218135i</v>
      </c>
      <c r="AN226" s="32">
        <f t="shared" si="240"/>
        <v>1.00014264901286</v>
      </c>
      <c r="AO226" s="32">
        <f t="shared" si="241"/>
        <v>-0.0168897636240445</v>
      </c>
      <c r="AP226" s="30" t="str">
        <f t="shared" si="242"/>
        <v>24,5579877214922-35,9442754506157i</v>
      </c>
      <c r="AQ226" s="32">
        <f t="shared" si="243"/>
        <v>32.7762885419167</v>
      </c>
      <c r="AR226" s="31">
        <f t="shared" si="244"/>
        <v>-55.6581774183387</v>
      </c>
      <c r="AS226" t="str">
        <f t="shared" si="220"/>
        <v>-0,000338461538461538</v>
      </c>
      <c r="AT226" t="str">
        <f t="shared" si="221"/>
        <v>0,00132236670912569i</v>
      </c>
      <c r="AU226">
        <f t="shared" si="245"/>
        <v>0.00132236670912569</v>
      </c>
      <c r="AV226">
        <f t="shared" si="246"/>
        <v>1.5707963267949</v>
      </c>
      <c r="AW226" t="str">
        <f t="shared" si="222"/>
        <v>1+0,21461522150947i</v>
      </c>
      <c r="AX226">
        <f t="shared" si="247"/>
        <v>1.02277059661664</v>
      </c>
      <c r="AY226">
        <f t="shared" si="248"/>
        <v>0.211408352998676</v>
      </c>
      <c r="AZ226" t="str">
        <f t="shared" si="223"/>
        <v>1+1,87340445727131i</v>
      </c>
      <c r="BA226">
        <f t="shared" si="249"/>
        <v>2.12359230091937</v>
      </c>
      <c r="BB226">
        <f t="shared" si="250"/>
        <v>1.08048542812882</v>
      </c>
      <c r="BC226" s="30" t="str">
        <f t="shared" si="251"/>
        <v>-0,405874865012641+0,343058269572222i</v>
      </c>
      <c r="BD226" s="32">
        <f t="shared" si="252"/>
        <v>-5.49099350062577</v>
      </c>
      <c r="BE226" s="31">
        <f t="shared" si="253"/>
        <v>139.794448476532</v>
      </c>
      <c r="BF226" s="30" t="str">
        <f t="shared" si="254"/>
        <v>1,33254366789337+3,04434617404334i</v>
      </c>
      <c r="BG226" s="68">
        <f t="shared" si="255"/>
        <v>10.4311523980041</v>
      </c>
      <c r="BH226" s="31">
        <f t="shared" si="256"/>
        <v>66.3604780949722</v>
      </c>
      <c r="BI226" s="30" t="str">
        <f t="shared" si="209"/>
        <v>2,36351098567278+23,0136987184068i</v>
      </c>
      <c r="BJ226" s="68">
        <f t="shared" si="257"/>
        <v>27.285295041291</v>
      </c>
      <c r="BK226" s="31">
        <f t="shared" si="210"/>
        <v>84.1362710581929</v>
      </c>
      <c r="BL226" s="32">
        <f t="shared" si="258"/>
        <v>10.4311523980041</v>
      </c>
      <c r="BM226" s="31">
        <f t="shared" si="259"/>
        <v>66.3604780949722</v>
      </c>
      <c r="BO226">
        <f t="shared" si="260"/>
        <v>0</v>
      </c>
      <c r="BP226">
        <f t="shared" si="261"/>
        <v>0</v>
      </c>
    </row>
    <row r="227" spans="14:68">
      <c r="N227" s="7">
        <v>9</v>
      </c>
      <c r="O227" s="18">
        <f t="shared" si="262"/>
        <v>1230.26877081238</v>
      </c>
      <c r="P227" s="86" t="str">
        <f t="shared" si="212"/>
        <v>15</v>
      </c>
      <c r="Q227" s="4" t="str">
        <f t="shared" si="213"/>
        <v>1+2,25458527718966i</v>
      </c>
      <c r="R227" s="4">
        <f t="shared" si="224"/>
        <v>2.46640523274671</v>
      </c>
      <c r="S227" s="4">
        <f t="shared" si="225"/>
        <v>1.15332704654676</v>
      </c>
      <c r="T227" s="4" t="str">
        <f t="shared" si="214"/>
        <v>1+0,00154600133293005i</v>
      </c>
      <c r="U227" s="4">
        <f t="shared" si="226"/>
        <v>1.00000119505935</v>
      </c>
      <c r="V227" s="4">
        <f t="shared" si="227"/>
        <v>0.00154600010122219</v>
      </c>
      <c r="W227" t="str">
        <f t="shared" si="215"/>
        <v>1-0,13527511663138i</v>
      </c>
      <c r="X227" s="4">
        <f t="shared" si="228"/>
        <v>1.0091081989458</v>
      </c>
      <c r="Y227" s="4">
        <f t="shared" si="229"/>
        <v>-0.134458910466016</v>
      </c>
      <c r="Z227" t="str">
        <f t="shared" si="216"/>
        <v>0,999989236897789+0,00717786333146093i</v>
      </c>
      <c r="AA227" s="4">
        <f t="shared" si="230"/>
        <v>1.00001499770425</v>
      </c>
      <c r="AB227" s="4">
        <f t="shared" si="231"/>
        <v>0.00717781731623975</v>
      </c>
      <c r="AC227" s="67" t="str">
        <f t="shared" si="232"/>
        <v>1,68053696954695-5,90245611881444i</v>
      </c>
      <c r="AD227" s="68">
        <f t="shared" si="233"/>
        <v>15.7591713274989</v>
      </c>
      <c r="AE227" s="31">
        <f t="shared" si="234"/>
        <v>-74.1073796104572</v>
      </c>
      <c r="AF227" s="32" t="str">
        <f t="shared" si="235"/>
        <v>75,4669735059805</v>
      </c>
      <c r="AG227" s="32" t="str">
        <f t="shared" si="217"/>
        <v>1+1,44937624962192i</v>
      </c>
      <c r="AH227" s="32">
        <f t="shared" si="236"/>
        <v>1.76087805170264</v>
      </c>
      <c r="AI227" s="32">
        <f t="shared" si="237"/>
        <v>0.966845887109676</v>
      </c>
      <c r="AJ227" s="32" t="str">
        <f t="shared" si="218"/>
        <v>1+0,00154600133293005i</v>
      </c>
      <c r="AK227" s="32">
        <f t="shared" si="238"/>
        <v>1.00000119505935</v>
      </c>
      <c r="AL227" s="32">
        <f t="shared" si="239"/>
        <v>0.00154600010122219</v>
      </c>
      <c r="AM227" s="32" t="str">
        <f t="shared" si="219"/>
        <v>1-0,0172848203686844i</v>
      </c>
      <c r="AN227" s="32">
        <f t="shared" si="240"/>
        <v>1.00014937135169</v>
      </c>
      <c r="AO227" s="32">
        <f t="shared" si="241"/>
        <v>-0.0172830993106491</v>
      </c>
      <c r="AP227" s="30" t="str">
        <f t="shared" si="242"/>
        <v>23,784203366379-35,6600205145942i</v>
      </c>
      <c r="AQ227" s="32">
        <f t="shared" si="243"/>
        <v>32.6418607727231</v>
      </c>
      <c r="AR227" s="31">
        <f t="shared" si="244"/>
        <v>-56.2978581374454</v>
      </c>
      <c r="AS227" t="str">
        <f t="shared" si="220"/>
        <v>-0,000338461538461538</v>
      </c>
      <c r="AT227" t="str">
        <f t="shared" si="221"/>
        <v>0,00135316858667368i</v>
      </c>
      <c r="AU227">
        <f t="shared" si="245"/>
        <v>0.00135316858667368</v>
      </c>
      <c r="AV227">
        <f t="shared" si="246"/>
        <v>1.5707963267949</v>
      </c>
      <c r="AW227" t="str">
        <f t="shared" si="222"/>
        <v>1+0,219614252207423i</v>
      </c>
      <c r="AX227">
        <f t="shared" si="247"/>
        <v>1.02383124574933</v>
      </c>
      <c r="AY227">
        <f t="shared" si="248"/>
        <v>0.21618233568698</v>
      </c>
      <c r="AZ227" t="str">
        <f t="shared" si="223"/>
        <v>1+1,91704165283326i</v>
      </c>
      <c r="BA227">
        <f t="shared" si="249"/>
        <v>2.16218609252249</v>
      </c>
      <c r="BB227">
        <f t="shared" si="250"/>
        <v>1.08998926904407</v>
      </c>
      <c r="BC227" s="30" t="str">
        <f t="shared" si="251"/>
        <v>-0,405034359627571+0,33907649959637i</v>
      </c>
      <c r="BD227" s="32">
        <f t="shared" si="252"/>
        <v>-5.54355785793173</v>
      </c>
      <c r="BE227" s="31">
        <f t="shared" si="253"/>
        <v>140.065449390631</v>
      </c>
      <c r="BF227" s="30" t="str">
        <f t="shared" si="254"/>
        <v>1,32070894449787+2,96052812739012i</v>
      </c>
      <c r="BG227" s="68">
        <f t="shared" si="255"/>
        <v>10.2156134695671</v>
      </c>
      <c r="BH227" s="31">
        <f t="shared" si="256"/>
        <v>65.9580697801734</v>
      </c>
      <c r="BI227" s="30" t="str">
        <f t="shared" si="209"/>
        <v>2,45805535187011+22,5081979965947i</v>
      </c>
      <c r="BJ227" s="68">
        <f t="shared" si="257"/>
        <v>27.0983029147914</v>
      </c>
      <c r="BK227" s="31">
        <f t="shared" si="210"/>
        <v>83.7675912531852</v>
      </c>
      <c r="BL227" s="32">
        <f t="shared" si="258"/>
        <v>10.2156134695671</v>
      </c>
      <c r="BM227" s="31">
        <f t="shared" si="259"/>
        <v>65.9580697801734</v>
      </c>
      <c r="BO227">
        <f t="shared" si="260"/>
        <v>0</v>
      </c>
      <c r="BP227">
        <f t="shared" si="261"/>
        <v>0</v>
      </c>
    </row>
    <row r="228" spans="14:68">
      <c r="N228" s="7">
        <v>10</v>
      </c>
      <c r="O228" s="18">
        <f t="shared" si="262"/>
        <v>1258.92541179417</v>
      </c>
      <c r="P228" s="86" t="str">
        <f t="shared" si="212"/>
        <v>15</v>
      </c>
      <c r="Q228" s="4" t="str">
        <f t="shared" si="213"/>
        <v>1+2,30710131464754i</v>
      </c>
      <c r="R228" s="4">
        <f t="shared" si="224"/>
        <v>2.51450123802881</v>
      </c>
      <c r="S228" s="4">
        <f t="shared" si="225"/>
        <v>1.16179504661516</v>
      </c>
      <c r="T228" s="4" t="str">
        <f t="shared" si="214"/>
        <v>1+0,00158201233004403i</v>
      </c>
      <c r="U228" s="4">
        <f t="shared" si="226"/>
        <v>1.00000125138072</v>
      </c>
      <c r="V228" s="4">
        <f t="shared" si="227"/>
        <v>0.00158201101024536</v>
      </c>
      <c r="W228" t="str">
        <f t="shared" si="215"/>
        <v>1-0,138426078878852i</v>
      </c>
      <c r="X228" s="4">
        <f t="shared" si="228"/>
        <v>1.00953542746838</v>
      </c>
      <c r="Y228" s="4">
        <f t="shared" si="229"/>
        <v>-0.137551943748909</v>
      </c>
      <c r="Z228" t="str">
        <f t="shared" si="216"/>
        <v>0,999988729648409+0,00734505724663296i</v>
      </c>
      <c r="AA228" s="4">
        <f t="shared" si="230"/>
        <v>1.00001570452158</v>
      </c>
      <c r="AB228" s="4">
        <f t="shared" si="231"/>
        <v>0.00734500794046856</v>
      </c>
      <c r="AC228" s="67" t="str">
        <f t="shared" si="232"/>
        <v>1,58125685955064-5,81088969872364i</v>
      </c>
      <c r="AD228" s="68">
        <f t="shared" si="233"/>
        <v>15.5950938516091</v>
      </c>
      <c r="AE228" s="31">
        <f t="shared" si="234"/>
        <v>-74.7772940723356</v>
      </c>
      <c r="AF228" s="32" t="str">
        <f t="shared" si="235"/>
        <v>75,4669735059805</v>
      </c>
      <c r="AG228" s="32" t="str">
        <f t="shared" si="217"/>
        <v>1+1,48313655941628i</v>
      </c>
      <c r="AH228" s="32">
        <f t="shared" si="236"/>
        <v>1.78876886541475</v>
      </c>
      <c r="AI228" s="32">
        <f t="shared" si="237"/>
        <v>0.977564318478505</v>
      </c>
      <c r="AJ228" s="32" t="str">
        <f t="shared" si="218"/>
        <v>1+0,00158201233004403i</v>
      </c>
      <c r="AK228" s="32">
        <f t="shared" si="238"/>
        <v>1.00000125138072</v>
      </c>
      <c r="AL228" s="32">
        <f t="shared" si="239"/>
        <v>0.00158201101024536</v>
      </c>
      <c r="AM228" s="32" t="str">
        <f t="shared" si="219"/>
        <v>1-0,0176874355561064i</v>
      </c>
      <c r="AN228" s="32">
        <f t="shared" si="240"/>
        <v>1.00015641045616</v>
      </c>
      <c r="AO228" s="32">
        <f t="shared" si="241"/>
        <v>-0.0176855914247719</v>
      </c>
      <c r="AP228" s="30" t="str">
        <f t="shared" si="242"/>
        <v>23,0229637369285-35,3616267722578i</v>
      </c>
      <c r="AQ228" s="32">
        <f t="shared" si="243"/>
        <v>32.5054234564506</v>
      </c>
      <c r="AR228" s="31">
        <f t="shared" si="244"/>
        <v>-56.9329768442029</v>
      </c>
      <c r="AS228" t="str">
        <f t="shared" si="220"/>
        <v>-0,000338461538461538</v>
      </c>
      <c r="AT228" t="str">
        <f t="shared" si="221"/>
        <v>0,00138468793211763i</v>
      </c>
      <c r="AU228">
        <f t="shared" si="245"/>
        <v>0.00138468793211763</v>
      </c>
      <c r="AV228">
        <f t="shared" si="246"/>
        <v>1.5707963267949</v>
      </c>
      <c r="AW228" t="str">
        <f t="shared" si="222"/>
        <v>1+0,224729725288834i</v>
      </c>
      <c r="AX228">
        <f t="shared" si="247"/>
        <v>1.02494070532319</v>
      </c>
      <c r="AY228">
        <f t="shared" si="248"/>
        <v>0.221057176101481</v>
      </c>
      <c r="AZ228" t="str">
        <f t="shared" si="223"/>
        <v>1+1,96169528925459i</v>
      </c>
      <c r="BA228">
        <f t="shared" si="249"/>
        <v>2.20187384013791</v>
      </c>
      <c r="BB228">
        <f t="shared" si="250"/>
        <v>1.09936872608062</v>
      </c>
      <c r="BC228" s="30" t="str">
        <f t="shared" si="251"/>
        <v>-0,40415796544577+0,335257945894485i</v>
      </c>
      <c r="BD228" s="32">
        <f t="shared" si="252"/>
        <v>-5.5949778540418</v>
      </c>
      <c r="BE228" s="31">
        <f t="shared" si="253"/>
        <v>140.323544911398</v>
      </c>
      <c r="BF228" s="30" t="str">
        <f t="shared" si="254"/>
        <v>1,30906938901036+2,87864628473044i</v>
      </c>
      <c r="BG228" s="68">
        <f t="shared" si="255"/>
        <v>10.0001159975673</v>
      </c>
      <c r="BH228" s="31">
        <f t="shared" si="256"/>
        <v>65.5462508390624</v>
      </c>
      <c r="BI228" s="30" t="str">
        <f t="shared" si="209"/>
        <v>2,55035217270581+22,0103146619742i</v>
      </c>
      <c r="BJ228" s="68">
        <f t="shared" si="257"/>
        <v>26.9104456024088</v>
      </c>
      <c r="BK228" s="31">
        <f t="shared" si="210"/>
        <v>83.3905680671952</v>
      </c>
      <c r="BL228" s="32">
        <f t="shared" si="258"/>
        <v>10.0001159975673</v>
      </c>
      <c r="BM228" s="31">
        <f t="shared" si="259"/>
        <v>65.5462508390624</v>
      </c>
      <c r="BO228">
        <f t="shared" si="260"/>
        <v>0</v>
      </c>
      <c r="BP228">
        <f t="shared" si="261"/>
        <v>0</v>
      </c>
    </row>
    <row r="229" spans="14:68">
      <c r="N229" s="7">
        <v>11</v>
      </c>
      <c r="O229" s="18">
        <f t="shared" si="262"/>
        <v>1288.24955169313</v>
      </c>
      <c r="P229" s="86" t="str">
        <f t="shared" si="212"/>
        <v>15</v>
      </c>
      <c r="Q229" s="4" t="str">
        <f t="shared" si="213"/>
        <v>1+2,36084060776054i</v>
      </c>
      <c r="R229" s="4">
        <f t="shared" si="224"/>
        <v>2.5638971069938</v>
      </c>
      <c r="S229" s="4">
        <f t="shared" si="225"/>
        <v>1.17013079376896</v>
      </c>
      <c r="T229" s="4" t="str">
        <f t="shared" si="214"/>
        <v>1+0,0016188621310358i</v>
      </c>
      <c r="U229" s="4">
        <f t="shared" si="226"/>
        <v>1.00000131035644</v>
      </c>
      <c r="V229" s="4">
        <f t="shared" si="227"/>
        <v>0.00161886071684615</v>
      </c>
      <c r="W229" t="str">
        <f t="shared" si="215"/>
        <v>1-0,141650436465632i</v>
      </c>
      <c r="X229" s="4">
        <f t="shared" si="228"/>
        <v>1.00998259695447</v>
      </c>
      <c r="Y229" s="4">
        <f t="shared" si="229"/>
        <v>-0.140714283075821</v>
      </c>
      <c r="Z229" t="str">
        <f t="shared" si="216"/>
        <v>0,999988198493103+0,00751614560838047i</v>
      </c>
      <c r="AA229" s="4">
        <f t="shared" si="230"/>
        <v>1.00001644464993</v>
      </c>
      <c r="AB229" s="4">
        <f t="shared" si="231"/>
        <v>0.00751609277591094</v>
      </c>
      <c r="AC229" s="67" t="str">
        <f t="shared" si="232"/>
        <v>1,48505367028082-5,71911908373119i</v>
      </c>
      <c r="AD229" s="68">
        <f t="shared" si="233"/>
        <v>15.4299596912978</v>
      </c>
      <c r="AE229" s="31">
        <f t="shared" si="234"/>
        <v>-75.4437770065019</v>
      </c>
      <c r="AF229" s="32" t="str">
        <f t="shared" si="235"/>
        <v>75,4669735059805</v>
      </c>
      <c r="AG229" s="32" t="str">
        <f t="shared" si="217"/>
        <v>1+1,51768324784606i</v>
      </c>
      <c r="AH229" s="32">
        <f t="shared" si="236"/>
        <v>1.81751545819907</v>
      </c>
      <c r="AI229" s="32">
        <f t="shared" si="237"/>
        <v>0.988190622966975</v>
      </c>
      <c r="AJ229" s="32" t="str">
        <f t="shared" si="218"/>
        <v>1+0,0016188621310358i</v>
      </c>
      <c r="AK229" s="32">
        <f t="shared" si="238"/>
        <v>1.00000131035644</v>
      </c>
      <c r="AL229" s="32">
        <f t="shared" si="239"/>
        <v>0.00161886071684615</v>
      </c>
      <c r="AM229" s="32" t="str">
        <f t="shared" si="219"/>
        <v>1-0,0180994288559811i</v>
      </c>
      <c r="AN229" s="32">
        <f t="shared" si="240"/>
        <v>1.00016378125031</v>
      </c>
      <c r="AO229" s="32">
        <f t="shared" si="241"/>
        <v>-0.0180974528511307</v>
      </c>
      <c r="AP229" s="30" t="str">
        <f t="shared" si="242"/>
        <v>22,2747533668339-35,0497585271414i</v>
      </c>
      <c r="AQ229" s="32">
        <f t="shared" si="243"/>
        <v>32.3670102572071</v>
      </c>
      <c r="AR229" s="31">
        <f t="shared" si="244"/>
        <v>-57.5633058320232</v>
      </c>
      <c r="AS229" t="str">
        <f t="shared" si="220"/>
        <v>-0,000338461538461538</v>
      </c>
      <c r="AT229" t="str">
        <f t="shared" si="221"/>
        <v>0,0014169414574317i</v>
      </c>
      <c r="AU229">
        <f t="shared" si="245"/>
        <v>0.0014169414574317</v>
      </c>
      <c r="AV229">
        <f t="shared" si="246"/>
        <v>1.5707963267949</v>
      </c>
      <c r="AW229" t="str">
        <f t="shared" si="222"/>
        <v>1+0,229964353045243i</v>
      </c>
      <c r="AX229">
        <f t="shared" si="247"/>
        <v>1.02610116639224</v>
      </c>
      <c r="AY229">
        <f t="shared" si="248"/>
        <v>0.226034531756517</v>
      </c>
      <c r="AZ229" t="str">
        <f t="shared" si="223"/>
        <v>1+2,00738904248439i</v>
      </c>
      <c r="BA229">
        <f t="shared" si="249"/>
        <v>2.24267937251101</v>
      </c>
      <c r="BB229">
        <f t="shared" si="250"/>
        <v>1.10862217026035</v>
      </c>
      <c r="BC229" s="30" t="str">
        <f t="shared" si="251"/>
        <v>-0,403244323811509+0,331599514038713i</v>
      </c>
      <c r="BD229" s="32">
        <f t="shared" si="252"/>
        <v>-5.64531151565673</v>
      </c>
      <c r="BE229" s="31">
        <f t="shared" si="253"/>
        <v>140.568546736688</v>
      </c>
      <c r="BF229" s="30" t="str">
        <f t="shared" si="254"/>
        <v>1,2976176457986+2,79864538310321i</v>
      </c>
      <c r="BG229" s="68">
        <f t="shared" si="255"/>
        <v>9.78464817564104</v>
      </c>
      <c r="BH229" s="31">
        <f t="shared" si="256"/>
        <v>65.1247697301857</v>
      </c>
      <c r="BI229" s="30" t="str">
        <f t="shared" si="209"/>
        <v>2,64031503529726+21,5199135688081i</v>
      </c>
      <c r="BJ229" s="68">
        <f t="shared" si="257"/>
        <v>26.7216987415504</v>
      </c>
      <c r="BK229" s="31">
        <f t="shared" si="210"/>
        <v>83.0052409046643</v>
      </c>
      <c r="BL229" s="32">
        <f t="shared" si="258"/>
        <v>9.78464817564104</v>
      </c>
      <c r="BM229" s="31">
        <f t="shared" si="259"/>
        <v>65.1247697301857</v>
      </c>
      <c r="BO229">
        <f t="shared" si="260"/>
        <v>0</v>
      </c>
      <c r="BP229">
        <f t="shared" si="261"/>
        <v>0</v>
      </c>
    </row>
    <row r="230" spans="14:68">
      <c r="N230" s="7">
        <v>12</v>
      </c>
      <c r="O230" s="18">
        <f t="shared" si="262"/>
        <v>1318.25673855641</v>
      </c>
      <c r="P230" s="86" t="str">
        <f t="shared" si="212"/>
        <v>15</v>
      </c>
      <c r="Q230" s="4" t="str">
        <f t="shared" si="213"/>
        <v>1+2,4158316498132i</v>
      </c>
      <c r="R230" s="4">
        <f t="shared" si="224"/>
        <v>2.61462092094421</v>
      </c>
      <c r="S230" s="4">
        <f t="shared" si="225"/>
        <v>1.17833407302648</v>
      </c>
      <c r="T230" s="4" t="str">
        <f t="shared" si="214"/>
        <v>1+0,00165657027415762i</v>
      </c>
      <c r="U230" s="4">
        <f t="shared" si="226"/>
        <v>1.0000013721116</v>
      </c>
      <c r="V230" s="4">
        <f t="shared" si="227"/>
        <v>0.00165656875882622</v>
      </c>
      <c r="W230" t="str">
        <f t="shared" si="215"/>
        <v>1-0,144949898988792i</v>
      </c>
      <c r="X230" s="4">
        <f t="shared" si="228"/>
        <v>1.0104506287874</v>
      </c>
      <c r="Y230" s="4">
        <f t="shared" si="229"/>
        <v>-0.143947352031223</v>
      </c>
      <c r="Z230" t="str">
        <f t="shared" si="216"/>
        <v>0,999987642305218+0,00769121913001751i</v>
      </c>
      <c r="AA230" s="4">
        <f t="shared" si="230"/>
        <v>1.00001721965917</v>
      </c>
      <c r="AB230" s="4">
        <f t="shared" si="231"/>
        <v>0.00769116251904854</v>
      </c>
      <c r="AC230" s="67" t="str">
        <f t="shared" si="232"/>
        <v>1,39188386000986-5,6272484450169i</v>
      </c>
      <c r="AD230" s="68">
        <f t="shared" si="233"/>
        <v>15.2638148645768</v>
      </c>
      <c r="AE230" s="31">
        <f t="shared" si="234"/>
        <v>-76.106901737887</v>
      </c>
      <c r="AF230" s="32" t="str">
        <f t="shared" si="235"/>
        <v>75,4669735059805</v>
      </c>
      <c r="AG230" s="32" t="str">
        <f t="shared" si="217"/>
        <v>1+1,55303463202277i</v>
      </c>
      <c r="AH230" s="32">
        <f t="shared" si="236"/>
        <v>1.84713739831722</v>
      </c>
      <c r="AI230" s="32">
        <f t="shared" si="237"/>
        <v>0.998720835450884</v>
      </c>
      <c r="AJ230" s="32" t="str">
        <f t="shared" si="218"/>
        <v>1+0,00165657027415762i</v>
      </c>
      <c r="AK230" s="32">
        <f t="shared" si="238"/>
        <v>1.0000013721116</v>
      </c>
      <c r="AL230" s="32">
        <f t="shared" si="239"/>
        <v>0.00165656875882622</v>
      </c>
      <c r="AM230" s="32" t="str">
        <f t="shared" si="219"/>
        <v>1-0,0185210187126095i</v>
      </c>
      <c r="AN230" s="32">
        <f t="shared" si="240"/>
        <v>1.00017149936106</v>
      </c>
      <c r="AO230" s="32">
        <f t="shared" si="241"/>
        <v>-0.0185189014048729</v>
      </c>
      <c r="AP230" s="30" t="str">
        <f t="shared" si="242"/>
        <v>21,5400132134313-34,7250953781844i</v>
      </c>
      <c r="AQ230" s="32">
        <f t="shared" si="243"/>
        <v>32.2266560585104</v>
      </c>
      <c r="AR230" s="31">
        <f t="shared" si="244"/>
        <v>-58.1886292764793</v>
      </c>
      <c r="AS230" t="str">
        <f t="shared" si="220"/>
        <v>-0,000338461538461538</v>
      </c>
      <c r="AT230" t="str">
        <f t="shared" si="221"/>
        <v>0,00144994626386194i</v>
      </c>
      <c r="AU230">
        <f t="shared" si="245"/>
        <v>0.00144994626386194</v>
      </c>
      <c r="AV230">
        <f t="shared" si="246"/>
        <v>1.5707963267949</v>
      </c>
      <c r="AW230" t="str">
        <f t="shared" si="222"/>
        <v>1+0,235320910945574i</v>
      </c>
      <c r="AX230">
        <f t="shared" si="247"/>
        <v>1.02731491331931</v>
      </c>
      <c r="AY230">
        <f t="shared" si="248"/>
        <v>0.231116054792666</v>
      </c>
      <c r="AZ230" t="str">
        <f t="shared" si="223"/>
        <v>1+2,05414713995545i</v>
      </c>
      <c r="BA230">
        <f t="shared" si="249"/>
        <v>2.28462698762558</v>
      </c>
      <c r="BB230">
        <f t="shared" si="250"/>
        <v>1.117748168255</v>
      </c>
      <c r="BC230" s="30" t="str">
        <f t="shared" si="251"/>
        <v>-0,402292040487276+0,328098130888666i</v>
      </c>
      <c r="BD230" s="32">
        <f t="shared" si="252"/>
        <v>-5.6946174620797</v>
      </c>
      <c r="BE230" s="31">
        <f t="shared" si="253"/>
        <v>140.800278082156</v>
      </c>
      <c r="BF230" s="30" t="str">
        <f t="shared" si="254"/>
        <v>1,28634589869152+2,72047175215804i</v>
      </c>
      <c r="BG230" s="68">
        <f t="shared" si="255"/>
        <v>9.56919740249709</v>
      </c>
      <c r="BH230" s="31">
        <f t="shared" si="256"/>
        <v>64.6933763442692</v>
      </c>
      <c r="BI230" s="30" t="str">
        <f t="shared" si="209"/>
        <v>2,72786302075879+21,0368675504491i</v>
      </c>
      <c r="BJ230" s="68">
        <f t="shared" si="257"/>
        <v>26.5320385964307</v>
      </c>
      <c r="BK230" s="31">
        <f t="shared" si="210"/>
        <v>82.6116488056767</v>
      </c>
      <c r="BL230" s="32">
        <f t="shared" si="258"/>
        <v>9.56919740249709</v>
      </c>
      <c r="BM230" s="31">
        <f t="shared" si="259"/>
        <v>64.6933763442692</v>
      </c>
      <c r="BO230">
        <f t="shared" si="260"/>
        <v>0</v>
      </c>
      <c r="BP230">
        <f t="shared" si="261"/>
        <v>0</v>
      </c>
    </row>
    <row r="231" spans="14:68">
      <c r="N231" s="7">
        <v>13</v>
      </c>
      <c r="O231" s="18">
        <f t="shared" si="262"/>
        <v>1348.96288259165</v>
      </c>
      <c r="P231" s="86" t="str">
        <f t="shared" si="212"/>
        <v>15</v>
      </c>
      <c r="Q231" s="4" t="str">
        <f t="shared" si="213"/>
        <v>1+2,47210359778389i</v>
      </c>
      <c r="R231" s="4">
        <f t="shared" si="224"/>
        <v>2.66670137026553</v>
      </c>
      <c r="S231" s="4">
        <f t="shared" si="225"/>
        <v>1.1864048165865</v>
      </c>
      <c r="T231" s="4" t="str">
        <f t="shared" si="214"/>
        <v>1+0,0016951567527661i</v>
      </c>
      <c r="U231" s="4">
        <f t="shared" si="226"/>
        <v>1.00000143677718</v>
      </c>
      <c r="V231" s="4">
        <f t="shared" si="227"/>
        <v>0.00169515512905938</v>
      </c>
      <c r="W231" t="str">
        <f t="shared" si="215"/>
        <v>1-0,148326215867034i</v>
      </c>
      <c r="X231" s="4">
        <f t="shared" si="228"/>
        <v>1.01094048603933</v>
      </c>
      <c r="Y231" s="4">
        <f t="shared" si="229"/>
        <v>-0.147252594334591</v>
      </c>
      <c r="Z231" t="str">
        <f t="shared" si="216"/>
        <v>0,999987059905005+0,00787037063784259i</v>
      </c>
      <c r="AA231" s="4">
        <f t="shared" si="230"/>
        <v>1.00001803119315</v>
      </c>
      <c r="AB231" s="4">
        <f t="shared" si="231"/>
        <v>0.00787030997814367</v>
      </c>
      <c r="AC231" s="67" t="str">
        <f t="shared" si="232"/>
        <v>1,30170036120562-5,53537724145948i</v>
      </c>
      <c r="AD231" s="68">
        <f t="shared" si="233"/>
        <v>15.0967051531357</v>
      </c>
      <c r="AE231" s="31">
        <f t="shared" si="234"/>
        <v>-76.7667512728153</v>
      </c>
      <c r="AF231" s="32" t="str">
        <f t="shared" si="235"/>
        <v>75,4669735059805</v>
      </c>
      <c r="AG231" s="32" t="str">
        <f t="shared" si="217"/>
        <v>1+1,58920945571822i</v>
      </c>
      <c r="AH231" s="32">
        <f t="shared" si="236"/>
        <v>1.87765457263688</v>
      </c>
      <c r="AI231" s="32">
        <f t="shared" si="237"/>
        <v>1.00915119782979</v>
      </c>
      <c r="AJ231" s="32" t="str">
        <f t="shared" si="218"/>
        <v>1+0,0016951567527661i</v>
      </c>
      <c r="AK231" s="32">
        <f t="shared" si="238"/>
        <v>1.00000143677718</v>
      </c>
      <c r="AL231" s="32">
        <f t="shared" si="239"/>
        <v>0.00169515512905938</v>
      </c>
      <c r="AM231" s="32" t="str">
        <f t="shared" si="219"/>
        <v>1-0,018952428658514i</v>
      </c>
      <c r="AN231" s="32">
        <f t="shared" si="240"/>
        <v>1.00017958115133</v>
      </c>
      <c r="AO231" s="32">
        <f t="shared" si="241"/>
        <v>-0.018950159944399</v>
      </c>
      <c r="AP231" s="30" t="str">
        <f t="shared" si="242"/>
        <v>20,8191404736947-34,3883289824181i</v>
      </c>
      <c r="AQ231" s="32">
        <f t="shared" si="243"/>
        <v>32.084396849032</v>
      </c>
      <c r="AR231" s="31">
        <f t="shared" si="244"/>
        <v>-58.8087434776157</v>
      </c>
      <c r="AS231" t="str">
        <f t="shared" si="220"/>
        <v>-0,000338461538461538</v>
      </c>
      <c r="AT231" t="str">
        <f t="shared" si="221"/>
        <v>0,00148371985099358i</v>
      </c>
      <c r="AU231">
        <f t="shared" si="245"/>
        <v>0.00148371985099358</v>
      </c>
      <c r="AV231">
        <f t="shared" si="246"/>
        <v>1.5707963267949</v>
      </c>
      <c r="AW231" t="str">
        <f t="shared" si="222"/>
        <v>1+0,240802239107729i</v>
      </c>
      <c r="AX231">
        <f t="shared" si="247"/>
        <v>1.02858432729616</v>
      </c>
      <c r="AY231">
        <f t="shared" si="248"/>
        <v>0.2363033893176</v>
      </c>
      <c r="AZ231" t="str">
        <f t="shared" si="223"/>
        <v>1+2,10199437342996i</v>
      </c>
      <c r="BA231">
        <f t="shared" si="249"/>
        <v>2.32774146887733</v>
      </c>
      <c r="BB231">
        <f t="shared" si="250"/>
        <v>1.12674547744424</v>
      </c>
      <c r="BC231" s="30" t="str">
        <f t="shared" si="251"/>
        <v>-0,401299686231264+0,324750739802248i</v>
      </c>
      <c r="BD231" s="32">
        <f t="shared" si="252"/>
        <v>-5.74295484079595</v>
      </c>
      <c r="BE231" s="31">
        <f t="shared" si="253"/>
        <v>141.018573550473</v>
      </c>
      <c r="BF231" s="30" t="str">
        <f t="shared" si="254"/>
        <v>1,27524590772955+2,64407330547175i</v>
      </c>
      <c r="BG231" s="68">
        <f t="shared" si="255"/>
        <v>9.35375031233978</v>
      </c>
      <c r="BH231" s="31">
        <f t="shared" si="256"/>
        <v>64.2518222776576</v>
      </c>
      <c r="BI231" s="30" t="str">
        <f t="shared" si="209"/>
        <v>2,81292073790507+20,5610569015411i</v>
      </c>
      <c r="BJ231" s="68">
        <f t="shared" si="257"/>
        <v>26.341442008236</v>
      </c>
      <c r="BK231" s="31">
        <f t="shared" si="210"/>
        <v>82.209830072857</v>
      </c>
      <c r="BL231" s="32">
        <f t="shared" si="258"/>
        <v>9.35375031233978</v>
      </c>
      <c r="BM231" s="31">
        <f t="shared" si="259"/>
        <v>64.2518222776576</v>
      </c>
      <c r="BO231">
        <f t="shared" si="260"/>
        <v>0</v>
      </c>
      <c r="BP231">
        <f t="shared" si="261"/>
        <v>0</v>
      </c>
    </row>
    <row r="232" spans="14:68">
      <c r="N232" s="7">
        <v>14</v>
      </c>
      <c r="O232" s="18">
        <f t="shared" si="262"/>
        <v>1380.38426460289</v>
      </c>
      <c r="P232" s="86" t="str">
        <f t="shared" si="212"/>
        <v>15</v>
      </c>
      <c r="Q232" s="4" t="str">
        <f t="shared" si="213"/>
        <v>1+2,5296862878043i</v>
      </c>
      <c r="R232" s="4">
        <f t="shared" si="224"/>
        <v>2.7201677732642</v>
      </c>
      <c r="S232" s="4">
        <f t="shared" si="225"/>
        <v>1.19434309699261</v>
      </c>
      <c r="T232" s="4" t="str">
        <f t="shared" si="214"/>
        <v>1+0,00173464202592295i</v>
      </c>
      <c r="U232" s="4">
        <f t="shared" si="226"/>
        <v>1.00000150449035</v>
      </c>
      <c r="V232" s="4">
        <f t="shared" si="227"/>
        <v>0.00173464028608999</v>
      </c>
      <c r="W232" t="str">
        <f t="shared" si="215"/>
        <v>1-0,151781177268258i</v>
      </c>
      <c r="X232" s="4">
        <f t="shared" si="228"/>
        <v>1.01145317527453</v>
      </c>
      <c r="Y232" s="4">
        <f t="shared" si="229"/>
        <v>-0.150631473450674</v>
      </c>
      <c r="Z232" t="str">
        <f t="shared" si="216"/>
        <v>0,999986450057117+0,00805369512035653i</v>
      </c>
      <c r="AA232" s="4">
        <f t="shared" si="230"/>
        <v>1.00001888097322</v>
      </c>
      <c r="AB232" s="4">
        <f t="shared" si="231"/>
        <v>0.00805363012237105</v>
      </c>
      <c r="AC232" s="67" t="str">
        <f t="shared" si="232"/>
        <v>1,21445294668438-5,4436001813006i</v>
      </c>
      <c r="AD232" s="68">
        <f t="shared" si="233"/>
        <v>14.9286760733748</v>
      </c>
      <c r="AE232" s="31">
        <f t="shared" si="234"/>
        <v>-77.4234178872261</v>
      </c>
      <c r="AF232" s="32" t="str">
        <f t="shared" si="235"/>
        <v>75,4669735059805</v>
      </c>
      <c r="AG232" s="32" t="str">
        <f t="shared" si="217"/>
        <v>1+1,62622689930277i</v>
      </c>
      <c r="AH232" s="32">
        <f t="shared" si="236"/>
        <v>1.90908719759363</v>
      </c>
      <c r="AI232" s="32">
        <f t="shared" si="237"/>
        <v>1.01947816218598</v>
      </c>
      <c r="AJ232" s="32" t="str">
        <f t="shared" si="218"/>
        <v>1+0,00173464202592295i</v>
      </c>
      <c r="AK232" s="32">
        <f t="shared" si="238"/>
        <v>1.00000150449035</v>
      </c>
      <c r="AL232" s="32">
        <f t="shared" si="239"/>
        <v>0.00173464028608999</v>
      </c>
      <c r="AM232" s="32" t="str">
        <f t="shared" si="219"/>
        <v>1-0,0193938874329583i</v>
      </c>
      <c r="AN232" s="32">
        <f t="shared" si="240"/>
        <v>1.00018804375465</v>
      </c>
      <c r="AO232" s="32">
        <f t="shared" si="241"/>
        <v>-0.0193914564866697</v>
      </c>
      <c r="AP232" s="30" t="str">
        <f t="shared" si="242"/>
        <v>20,1124886648042-34,040159883895i</v>
      </c>
      <c r="AQ232" s="32">
        <f t="shared" si="243"/>
        <v>31.9402696082203</v>
      </c>
      <c r="AR232" s="31">
        <f t="shared" si="244"/>
        <v>-59.4234570469418</v>
      </c>
      <c r="AS232" t="str">
        <f t="shared" si="220"/>
        <v>-0,000338461538461538</v>
      </c>
      <c r="AT232" t="str">
        <f t="shared" si="221"/>
        <v>0,00151828012602958i</v>
      </c>
      <c r="AU232">
        <f t="shared" si="245"/>
        <v>0.00151828012602958</v>
      </c>
      <c r="AV232">
        <f t="shared" si="246"/>
        <v>1.5707963267949</v>
      </c>
      <c r="AW232" t="str">
        <f t="shared" si="222"/>
        <v>1+0,246411243804454i</v>
      </c>
      <c r="AX232">
        <f t="shared" si="247"/>
        <v>1.02991188995625</v>
      </c>
      <c r="AY232">
        <f t="shared" si="248"/>
        <v>0.241598168568962</v>
      </c>
      <c r="AZ232" t="str">
        <f t="shared" si="223"/>
        <v>1+2,15095611214446i</v>
      </c>
      <c r="BA232">
        <f t="shared" si="249"/>
        <v>2.37204810161422</v>
      </c>
      <c r="BB232">
        <f t="shared" si="250"/>
        <v>1.13561304056194</v>
      </c>
      <c r="BC232" s="30" t="str">
        <f t="shared" si="251"/>
        <v>-0,400265797556236+0,321554295769791i</v>
      </c>
      <c r="BD232" s="32">
        <f t="shared" si="252"/>
        <v>-5.79038326757043</v>
      </c>
      <c r="BE232" s="31">
        <f t="shared" si="253"/>
        <v>141.223278987126</v>
      </c>
      <c r="BF232" s="30" t="str">
        <f t="shared" si="254"/>
        <v>1,26430904545128+2,5693995301622i</v>
      </c>
      <c r="BG232" s="68">
        <f t="shared" si="255"/>
        <v>9.13829280580436</v>
      </c>
      <c r="BH232" s="31">
        <f t="shared" si="256"/>
        <v>63.7998610999002</v>
      </c>
      <c r="BI232" s="30" t="str">
        <f t="shared" si="209"/>
        <v>2,89541832309834+20,092368873658i</v>
      </c>
      <c r="BJ232" s="68">
        <f t="shared" si="257"/>
        <v>26.1498863406498</v>
      </c>
      <c r="BK232" s="31">
        <f t="shared" si="210"/>
        <v>81.7998219401844</v>
      </c>
      <c r="BL232" s="32">
        <f t="shared" si="258"/>
        <v>9.13829280580436</v>
      </c>
      <c r="BM232" s="31">
        <f t="shared" si="259"/>
        <v>63.7998610999002</v>
      </c>
      <c r="BO232">
        <f t="shared" si="260"/>
        <v>0</v>
      </c>
      <c r="BP232">
        <f t="shared" si="261"/>
        <v>0</v>
      </c>
    </row>
    <row r="233" spans="14:68">
      <c r="N233" s="7">
        <v>15</v>
      </c>
      <c r="O233" s="18">
        <f t="shared" si="262"/>
        <v>1412.53754462275</v>
      </c>
      <c r="P233" s="86" t="str">
        <f t="shared" si="212"/>
        <v>15</v>
      </c>
      <c r="Q233" s="4" t="str">
        <f t="shared" si="213"/>
        <v>1+2,58861025097885i</v>
      </c>
      <c r="R233" s="4">
        <f t="shared" si="224"/>
        <v>2.77505009530869</v>
      </c>
      <c r="S233" s="4">
        <f t="shared" si="225"/>
        <v>1.20214912026049</v>
      </c>
      <c r="T233" s="4" t="str">
        <f t="shared" si="214"/>
        <v>1+0,00177504702924264i</v>
      </c>
      <c r="U233" s="4">
        <f t="shared" si="226"/>
        <v>1.00000157539474</v>
      </c>
      <c r="V233" s="4">
        <f t="shared" si="227"/>
        <v>0.0017750451649782</v>
      </c>
      <c r="W233" t="str">
        <f t="shared" si="215"/>
        <v>1-0,155316615058731i</v>
      </c>
      <c r="X233" s="4">
        <f t="shared" si="228"/>
        <v>1.01198974842303</v>
      </c>
      <c r="Y233" s="4">
        <f t="shared" si="229"/>
        <v>-0.154085472137694</v>
      </c>
      <c r="Z233" t="str">
        <f t="shared" si="216"/>
        <v>0,999985811467982+0,00824128977862654i</v>
      </c>
      <c r="AA233" s="4">
        <f t="shared" si="230"/>
        <v>1.0000197708018</v>
      </c>
      <c r="AB233" s="4">
        <f t="shared" si="231"/>
        <v>0.00824122013208974</v>
      </c>
      <c r="AC233" s="67" t="str">
        <f t="shared" si="232"/>
        <v>1,1300885840266-5,35200720893977i</v>
      </c>
      <c r="AD233" s="68">
        <f t="shared" si="233"/>
        <v>14.7597728523293</v>
      </c>
      <c r="AE233" s="31">
        <f t="shared" si="234"/>
        <v>-78.0770027092701</v>
      </c>
      <c r="AF233" s="32" t="str">
        <f t="shared" si="235"/>
        <v>75,4669735059805</v>
      </c>
      <c r="AG233" s="32" t="str">
        <f t="shared" si="217"/>
        <v>1+1,66410658991498i</v>
      </c>
      <c r="AH233" s="32">
        <f t="shared" si="236"/>
        <v>1.94145583071016</v>
      </c>
      <c r="AI233" s="32">
        <f t="shared" si="237"/>
        <v>1.02969839299906</v>
      </c>
      <c r="AJ233" s="32" t="str">
        <f t="shared" si="218"/>
        <v>1+0,00177504702924264i</v>
      </c>
      <c r="AK233" s="32">
        <f t="shared" si="238"/>
        <v>1.00000157539474</v>
      </c>
      <c r="AL233" s="32">
        <f t="shared" si="239"/>
        <v>0.0017750451649782</v>
      </c>
      <c r="AM233" s="32" t="str">
        <f t="shared" si="219"/>
        <v>1-0,019845629103228i</v>
      </c>
      <c r="AN233" s="32">
        <f t="shared" si="240"/>
        <v>1.00019690511144</v>
      </c>
      <c r="AO233" s="32">
        <f t="shared" si="241"/>
        <v>-0.0198430243250447</v>
      </c>
      <c r="AP233" s="30" t="str">
        <f t="shared" si="242"/>
        <v>19,420367955193-33,6812944314255i</v>
      </c>
      <c r="AQ233" s="32">
        <f t="shared" si="243"/>
        <v>31.794312192482</v>
      </c>
      <c r="AR233" s="31">
        <f t="shared" si="244"/>
        <v>-60.0325910404514</v>
      </c>
      <c r="AS233" t="str">
        <f t="shared" si="220"/>
        <v>-0,000338461538461538</v>
      </c>
      <c r="AT233" t="str">
        <f t="shared" si="221"/>
        <v>0,00155364541328521i</v>
      </c>
      <c r="AU233">
        <f t="shared" si="245"/>
        <v>0.00155364541328521</v>
      </c>
      <c r="AV233">
        <f t="shared" si="246"/>
        <v>1.5707963267949</v>
      </c>
      <c r="AW233" t="str">
        <f t="shared" si="222"/>
        <v>1+0,252150899004282i</v>
      </c>
      <c r="AX233">
        <f t="shared" si="247"/>
        <v>1.03130018707875</v>
      </c>
      <c r="AY233">
        <f t="shared" si="248"/>
        <v>0.247002011893313</v>
      </c>
      <c r="AZ233" t="str">
        <f t="shared" si="223"/>
        <v>1+2,20105831626088i</v>
      </c>
      <c r="BA233">
        <f t="shared" si="249"/>
        <v>2.41757269003047</v>
      </c>
      <c r="BB233">
        <f t="shared" si="250"/>
        <v>1.14434997998431</v>
      </c>
      <c r="BC233" s="30" t="str">
        <f t="shared" si="251"/>
        <v>-0,399188877685569+0,318505760475617i</v>
      </c>
      <c r="BD233" s="32">
        <f t="shared" si="252"/>
        <v>-5.83696277105757</v>
      </c>
      <c r="BE233" s="31">
        <f t="shared" si="253"/>
        <v>141.414251326254</v>
      </c>
      <c r="BF233" s="30" t="str">
        <f t="shared" si="254"/>
        <v>1,25352633261149+2,49640147496195i</v>
      </c>
      <c r="BG233" s="68">
        <f t="shared" si="255"/>
        <v>8.92281008127177</v>
      </c>
      <c r="BH233" s="31">
        <f t="shared" si="256"/>
        <v>63.3372486169839</v>
      </c>
      <c r="BI233" s="30" t="str">
        <f t="shared" si="209"/>
        <v>2,97529140841006+19,630697187363i</v>
      </c>
      <c r="BJ233" s="68">
        <f t="shared" si="257"/>
        <v>25.9573494214244</v>
      </c>
      <c r="BK233" s="31">
        <f t="shared" si="210"/>
        <v>81.3816602858026</v>
      </c>
      <c r="BL233" s="32">
        <f t="shared" si="258"/>
        <v>8.92281008127177</v>
      </c>
      <c r="BM233" s="31">
        <f t="shared" si="259"/>
        <v>63.3372486169839</v>
      </c>
      <c r="BO233">
        <f t="shared" si="260"/>
        <v>0</v>
      </c>
      <c r="BP233">
        <f t="shared" si="261"/>
        <v>0</v>
      </c>
    </row>
    <row r="234" spans="14:68">
      <c r="N234" s="7">
        <v>16</v>
      </c>
      <c r="O234" s="18">
        <f t="shared" si="262"/>
        <v>1445.43977074593</v>
      </c>
      <c r="P234" s="86" t="str">
        <f t="shared" si="212"/>
        <v>15</v>
      </c>
      <c r="Q234" s="4" t="str">
        <f t="shared" si="213"/>
        <v>1+2,64890672957279i</v>
      </c>
      <c r="R234" s="4">
        <f t="shared" si="224"/>
        <v>2.83137896827253</v>
      </c>
      <c r="S234" s="4">
        <f t="shared" si="225"/>
        <v>1.20982321900319</v>
      </c>
      <c r="T234" s="4" t="str">
        <f t="shared" si="214"/>
        <v>1+0,00181639318599277i</v>
      </c>
      <c r="U234" s="4">
        <f t="shared" si="226"/>
        <v>1.00000164964074</v>
      </c>
      <c r="V234" s="4">
        <f t="shared" si="227"/>
        <v>0.00181639118839761</v>
      </c>
      <c r="W234" t="str">
        <f t="shared" si="215"/>
        <v>1-0,158934403774367i</v>
      </c>
      <c r="X234" s="4">
        <f t="shared" si="228"/>
        <v>1.01255130472639</v>
      </c>
      <c r="Y234" s="4">
        <f t="shared" si="229"/>
        <v>-0.157616091929179</v>
      </c>
      <c r="Z234" t="str">
        <f t="shared" si="216"/>
        <v>0,999985142783069+0,00843325407782355i</v>
      </c>
      <c r="AA234" s="4">
        <f t="shared" si="230"/>
        <v>1.00002070256631</v>
      </c>
      <c r="AB234" s="4">
        <f t="shared" si="231"/>
        <v>0.00843317945028151</v>
      </c>
      <c r="AC234" s="67" t="str">
        <f t="shared" si="232"/>
        <v>1,04855177693397-5,2606835148318i</v>
      </c>
      <c r="AD234" s="68">
        <f t="shared" si="233"/>
        <v>14.5900404083258</v>
      </c>
      <c r="AE234" s="31">
        <f t="shared" si="234"/>
        <v>-78.72761529804</v>
      </c>
      <c r="AF234" s="32" t="str">
        <f t="shared" si="235"/>
        <v>75,4669735059805</v>
      </c>
      <c r="AG234" s="32" t="str">
        <f t="shared" si="217"/>
        <v>1+1,70286861186822i</v>
      </c>
      <c r="AH234" s="32">
        <f t="shared" si="236"/>
        <v>1.97478138265632</v>
      </c>
      <c r="AI234" s="32">
        <f t="shared" si="237"/>
        <v>1.03980876844627</v>
      </c>
      <c r="AJ234" s="32" t="str">
        <f t="shared" si="218"/>
        <v>1+0,00181639318599277i</v>
      </c>
      <c r="AK234" s="32">
        <f t="shared" si="238"/>
        <v>1.00000164964074</v>
      </c>
      <c r="AL234" s="32">
        <f t="shared" si="239"/>
        <v>0.00181639118839761</v>
      </c>
      <c r="AM234" s="32" t="str">
        <f t="shared" si="219"/>
        <v>1-0,0203078931887363i</v>
      </c>
      <c r="AN234" s="32">
        <f t="shared" si="240"/>
        <v>1.00020618400696</v>
      </c>
      <c r="AO234" s="32">
        <f t="shared" si="241"/>
        <v>-0.0203051021497004</v>
      </c>
      <c r="AP234" s="30" t="str">
        <f t="shared" si="242"/>
        <v>18,743045730103-33,3124418053959i</v>
      </c>
      <c r="AQ234" s="32">
        <f t="shared" si="243"/>
        <v>31.6465632225567</v>
      </c>
      <c r="AR234" s="31">
        <f t="shared" si="244"/>
        <v>-60.6359790393869</v>
      </c>
      <c r="AS234" t="str">
        <f t="shared" si="220"/>
        <v>-0,000338461538461538</v>
      </c>
      <c r="AT234" t="str">
        <f t="shared" si="221"/>
        <v>0,00158983446390389i</v>
      </c>
      <c r="AU234">
        <f t="shared" si="245"/>
        <v>0.00158983446390389</v>
      </c>
      <c r="AV234">
        <f t="shared" si="246"/>
        <v>1.5707963267949</v>
      </c>
      <c r="AW234" t="str">
        <f t="shared" si="222"/>
        <v>1+0,258024247948374i</v>
      </c>
      <c r="AX234">
        <f t="shared" si="247"/>
        <v>1.03275191238231</v>
      </c>
      <c r="AY234">
        <f t="shared" si="248"/>
        <v>0.252516521535496</v>
      </c>
      <c r="AZ234" t="str">
        <f t="shared" si="223"/>
        <v>1+2,25232755063103i</v>
      </c>
      <c r="BA234">
        <f t="shared" si="249"/>
        <v>2.46434157440311</v>
      </c>
      <c r="BB234">
        <f t="shared" si="250"/>
        <v>1.15295559171245</v>
      </c>
      <c r="BC234" s="30" t="str">
        <f t="shared" si="251"/>
        <v>-0,39806739772274+0,315602097292381i</v>
      </c>
      <c r="BD234" s="32">
        <f t="shared" si="252"/>
        <v>-5.8827537418709</v>
      </c>
      <c r="BE234" s="31">
        <f t="shared" si="253"/>
        <v>141.591358429824</v>
      </c>
      <c r="BF234" s="30" t="str">
        <f t="shared" si="254"/>
        <v>1,24288847325071+2,42503173691203i</v>
      </c>
      <c r="BG234" s="68">
        <f t="shared" si="255"/>
        <v>8.70728666645496</v>
      </c>
      <c r="BH234" s="31">
        <f t="shared" si="256"/>
        <v>62.8637431317835</v>
      </c>
      <c r="BI234" s="30" t="str">
        <f t="shared" si="209"/>
        <v>3,05248106053292+19,1759415633317i</v>
      </c>
      <c r="BJ234" s="68">
        <f t="shared" si="257"/>
        <v>25.7638094806859</v>
      </c>
      <c r="BK234" s="31">
        <f t="shared" si="210"/>
        <v>80.9553793904366</v>
      </c>
      <c r="BL234" s="32">
        <f t="shared" si="258"/>
        <v>8.70728666645496</v>
      </c>
      <c r="BM234" s="31">
        <f t="shared" si="259"/>
        <v>62.8637431317835</v>
      </c>
      <c r="BO234">
        <f t="shared" si="260"/>
        <v>0</v>
      </c>
      <c r="BP234">
        <f t="shared" si="261"/>
        <v>0</v>
      </c>
    </row>
    <row r="235" spans="14:68">
      <c r="N235" s="7">
        <v>17</v>
      </c>
      <c r="O235" s="18">
        <f t="shared" si="262"/>
        <v>1479.10838816821</v>
      </c>
      <c r="P235" s="86" t="str">
        <f t="shared" si="212"/>
        <v>15</v>
      </c>
      <c r="Q235" s="4" t="str">
        <f t="shared" si="213"/>
        <v>1+2,71060769357716i</v>
      </c>
      <c r="R235" s="4">
        <f t="shared" si="224"/>
        <v>2.88918571027888</v>
      </c>
      <c r="S235" s="4">
        <f t="shared" si="225"/>
        <v>1.21736584558619</v>
      </c>
      <c r="T235" s="4" t="str">
        <f t="shared" si="214"/>
        <v>1+0,00185870241845291i</v>
      </c>
      <c r="U235" s="4">
        <f t="shared" si="226"/>
        <v>1.00000172738585</v>
      </c>
      <c r="V235" s="4">
        <f t="shared" si="227"/>
        <v>0.00185870027799133</v>
      </c>
      <c r="W235" t="str">
        <f t="shared" si="215"/>
        <v>1-0,16263646161463i</v>
      </c>
      <c r="X235" s="4">
        <f t="shared" si="228"/>
        <v>1.01313899275792</v>
      </c>
      <c r="Y235" s="4">
        <f t="shared" si="229"/>
        <v>-0.161224852544963</v>
      </c>
      <c r="Z235" t="str">
        <f t="shared" si="216"/>
        <v>0,999984442584007+0,00862968979995993i</v>
      </c>
      <c r="AA235" s="4">
        <f t="shared" si="230"/>
        <v>1.00002167824307</v>
      </c>
      <c r="AB235" s="4">
        <f t="shared" si="231"/>
        <v>0.00862960983518275</v>
      </c>
      <c r="AC235" s="67" t="str">
        <f t="shared" si="232"/>
        <v>0,969784892446758-5,16970956645718i</v>
      </c>
      <c r="AD235" s="68">
        <f t="shared" si="233"/>
        <v>14.4195233361946</v>
      </c>
      <c r="AE235" s="31">
        <f t="shared" si="234"/>
        <v>-79.3753732200007</v>
      </c>
      <c r="AF235" s="32" t="str">
        <f t="shared" si="235"/>
        <v>75,4669735059805</v>
      </c>
      <c r="AG235" s="32" t="str">
        <f t="shared" si="217"/>
        <v>1+1,74253351729961i</v>
      </c>
      <c r="AH235" s="32">
        <f t="shared" si="236"/>
        <v>2.00908512983212</v>
      </c>
      <c r="AI235" s="32">
        <f t="shared" si="237"/>
        <v>1.04980638082406</v>
      </c>
      <c r="AJ235" s="32" t="str">
        <f t="shared" si="218"/>
        <v>1+0,00185870241845291i</v>
      </c>
      <c r="AK235" s="32">
        <f t="shared" si="238"/>
        <v>1.00000172738585</v>
      </c>
      <c r="AL235" s="32">
        <f t="shared" si="239"/>
        <v>0.00185870027799133</v>
      </c>
      <c r="AM235" s="32" t="str">
        <f t="shared" si="219"/>
        <v>1-0,0207809247880199i</v>
      </c>
      <c r="AN235" s="32">
        <f t="shared" si="240"/>
        <v>1.00021590011109</v>
      </c>
      <c r="AO235" s="32">
        <f t="shared" si="241"/>
        <v>-0.0207779341706752</v>
      </c>
      <c r="AP235" s="30" t="str">
        <f t="shared" si="242"/>
        <v>18,0807473741567-32,9343111715333i</v>
      </c>
      <c r="AQ235" s="32">
        <f t="shared" si="243"/>
        <v>31.4970619726784</v>
      </c>
      <c r="AR235" s="31">
        <f t="shared" si="244"/>
        <v>-61.2334671807941</v>
      </c>
      <c r="AS235" t="str">
        <f t="shared" si="220"/>
        <v>-0,000338461538461538</v>
      </c>
      <c r="AT235" t="str">
        <f t="shared" si="221"/>
        <v>0,00162686646579928i</v>
      </c>
      <c r="AU235">
        <f t="shared" si="245"/>
        <v>0.00162686646579928</v>
      </c>
      <c r="AV235">
        <f t="shared" si="246"/>
        <v>1.5707963267949</v>
      </c>
      <c r="AW235" t="str">
        <f t="shared" si="222"/>
        <v>1+0,264034404764083i</v>
      </c>
      <c r="AX235">
        <f t="shared" si="247"/>
        <v>1.03426987140645</v>
      </c>
      <c r="AY235">
        <f t="shared" si="248"/>
        <v>0.258143279233112</v>
      </c>
      <c r="AZ235" t="str">
        <f t="shared" si="223"/>
        <v>1+2,30479099888161i</v>
      </c>
      <c r="BA235">
        <f t="shared" si="249"/>
        <v>2.51238164866043</v>
      </c>
      <c r="BB235">
        <f t="shared" si="250"/>
        <v>1.16142933909985</v>
      </c>
      <c r="BC235" s="30" t="str">
        <f t="shared" si="251"/>
        <v>-0,396899798051175+0,312840266215175i</v>
      </c>
      <c r="BD235" s="32">
        <f t="shared" si="252"/>
        <v>-5.92781688601079</v>
      </c>
      <c r="BE235" s="31">
        <f t="shared" si="253"/>
        <v>141.754478923366</v>
      </c>
      <c r="BF235" s="30" t="str">
        <f t="shared" si="254"/>
        <v>1,2323858890604+2,35524444683458i</v>
      </c>
      <c r="BG235" s="68">
        <f t="shared" si="255"/>
        <v>8.49170645018377</v>
      </c>
      <c r="BH235" s="31">
        <f t="shared" si="256"/>
        <v>62.3791057033649</v>
      </c>
      <c r="BI235" s="30" t="str">
        <f t="shared" si="209"/>
        <v>3,12693369309878+18,7280072748366i</v>
      </c>
      <c r="BJ235" s="68">
        <f t="shared" si="257"/>
        <v>25.5692450866676</v>
      </c>
      <c r="BK235" s="31">
        <f t="shared" si="210"/>
        <v>80.5210117425715</v>
      </c>
      <c r="BL235" s="32">
        <f t="shared" si="258"/>
        <v>8.49170645018377</v>
      </c>
      <c r="BM235" s="31">
        <f t="shared" si="259"/>
        <v>62.3791057033649</v>
      </c>
      <c r="BO235">
        <f t="shared" si="260"/>
        <v>0</v>
      </c>
      <c r="BP235">
        <f t="shared" si="261"/>
        <v>0</v>
      </c>
    </row>
    <row r="236" spans="14:68">
      <c r="N236" s="7">
        <v>18</v>
      </c>
      <c r="O236" s="18">
        <f t="shared" si="262"/>
        <v>1513.56124843621</v>
      </c>
      <c r="P236" s="86" t="str">
        <f t="shared" si="212"/>
        <v>15</v>
      </c>
      <c r="Q236" s="4" t="str">
        <f t="shared" si="213"/>
        <v>1+2,77374585765981i</v>
      </c>
      <c r="R236" s="4">
        <f t="shared" si="224"/>
        <v>2.94850234574859</v>
      </c>
      <c r="S236" s="4">
        <f t="shared" si="225"/>
        <v>1.22477756534128</v>
      </c>
      <c r="T236" s="4" t="str">
        <f t="shared" si="214"/>
        <v>1+0,00190199715953816i</v>
      </c>
      <c r="U236" s="4">
        <f t="shared" si="226"/>
        <v>1.00000180879496</v>
      </c>
      <c r="V236" s="4">
        <f t="shared" si="227"/>
        <v>0.00190199486599248</v>
      </c>
      <c r="W236" t="str">
        <f t="shared" si="215"/>
        <v>1-0,166424751459589i</v>
      </c>
      <c r="X236" s="4">
        <f t="shared" si="228"/>
        <v>1.01375401251901</v>
      </c>
      <c r="Y236" s="4">
        <f t="shared" si="229"/>
        <v>-0.164913291226655</v>
      </c>
      <c r="Z236" t="str">
        <f t="shared" si="216"/>
        <v>0,99998370938558+0,0088307010978557i</v>
      </c>
      <c r="AA236" s="4">
        <f t="shared" si="230"/>
        <v>1.00002269990157</v>
      </c>
      <c r="AB236" s="4">
        <f t="shared" si="231"/>
        <v>0.00883061541413716</v>
      </c>
      <c r="AC236" s="67" t="str">
        <f t="shared" si="232"/>
        <v>0,893728473164566-5,07916115835312i</v>
      </c>
      <c r="AD236" s="68">
        <f t="shared" si="233"/>
        <v>14.2482658968474</v>
      </c>
      <c r="AE236" s="31">
        <f t="shared" si="234"/>
        <v>-80.0204016245194</v>
      </c>
      <c r="AF236" s="32" t="str">
        <f t="shared" si="235"/>
        <v>75,4669735059805</v>
      </c>
      <c r="AG236" s="32" t="str">
        <f t="shared" si="217"/>
        <v>1+1,78312233706702i</v>
      </c>
      <c r="AH236" s="32">
        <f t="shared" si="236"/>
        <v>2.04438872745556</v>
      </c>
      <c r="AI236" s="32">
        <f t="shared" si="237"/>
        <v>1.05968853613172</v>
      </c>
      <c r="AJ236" s="32" t="str">
        <f t="shared" si="218"/>
        <v>1+0,00190199715953816i</v>
      </c>
      <c r="AK236" s="32">
        <f t="shared" si="238"/>
        <v>1.00000180879496</v>
      </c>
      <c r="AL236" s="32">
        <f t="shared" si="239"/>
        <v>0.00190199486599248</v>
      </c>
      <c r="AM236" s="32" t="str">
        <f t="shared" si="219"/>
        <v>1-0,0212649747086941i</v>
      </c>
      <c r="AN236" s="32">
        <f t="shared" si="240"/>
        <v>1.00022607401995</v>
      </c>
      <c r="AO236" s="32">
        <f t="shared" si="241"/>
        <v>-0.0212617702435915</v>
      </c>
      <c r="AP236" s="30" t="str">
        <f t="shared" si="242"/>
        <v>17,4336572522697-32,5476089769915i</v>
      </c>
      <c r="AQ236" s="32">
        <f t="shared" si="243"/>
        <v>31.3458482620689</v>
      </c>
      <c r="AR236" s="31">
        <f t="shared" si="244"/>
        <v>-61.8249141402017</v>
      </c>
      <c r="AS236" t="str">
        <f t="shared" si="220"/>
        <v>-0,000338461538461538</v>
      </c>
      <c r="AT236" t="str">
        <f t="shared" si="221"/>
        <v>0,00166476105382896i</v>
      </c>
      <c r="AU236">
        <f t="shared" si="245"/>
        <v>0.00166476105382896</v>
      </c>
      <c r="AV236">
        <f t="shared" si="246"/>
        <v>1.5707963267949</v>
      </c>
      <c r="AW236" t="str">
        <f t="shared" si="222"/>
        <v>1+0,270184556116106i</v>
      </c>
      <c r="AX236">
        <f t="shared" si="247"/>
        <v>1.03585698547804</v>
      </c>
      <c r="AY236">
        <f t="shared" si="248"/>
        <v>0.263883842611296</v>
      </c>
      <c r="AZ236" t="str">
        <f t="shared" si="223"/>
        <v>1+2,35847647782731i</v>
      </c>
      <c r="BA236">
        <f t="shared" si="249"/>
        <v>2.56172037827408</v>
      </c>
      <c r="BB236">
        <f t="shared" si="250"/>
        <v>1.16977084637317</v>
      </c>
      <c r="BC236" s="30" t="str">
        <f t="shared" si="251"/>
        <v>-0,395684489981646+0,310217218743895i</v>
      </c>
      <c r="BD236" s="32">
        <f t="shared" si="252"/>
        <v>-5.97221318250928</v>
      </c>
      <c r="BE236" s="31">
        <f t="shared" si="253"/>
        <v>141.903502031307</v>
      </c>
      <c r="BF236" s="30" t="str">
        <f t="shared" si="254"/>
        <v>1,22200875301013+2,28699525373488i</v>
      </c>
      <c r="BG236" s="68">
        <f t="shared" si="255"/>
        <v>8.27605271433807</v>
      </c>
      <c r="BH236" s="31">
        <f t="shared" si="256"/>
        <v>61.8831004067878</v>
      </c>
      <c r="BI236" s="30" t="str">
        <f t="shared" si="209"/>
        <v>3,19860095522697+18,2868047235164i</v>
      </c>
      <c r="BJ236" s="68">
        <f t="shared" si="257"/>
        <v>25.3736350795597</v>
      </c>
      <c r="BK236" s="31">
        <f t="shared" si="210"/>
        <v>80.0785878911056</v>
      </c>
      <c r="BL236" s="32">
        <f t="shared" si="258"/>
        <v>8.27605271433807</v>
      </c>
      <c r="BM236" s="31">
        <f t="shared" si="259"/>
        <v>61.8831004067878</v>
      </c>
      <c r="BO236">
        <f t="shared" si="260"/>
        <v>0</v>
      </c>
      <c r="BP236">
        <f t="shared" si="261"/>
        <v>0</v>
      </c>
    </row>
    <row r="237" spans="14:68">
      <c r="N237" s="7">
        <v>19</v>
      </c>
      <c r="O237" s="18">
        <f t="shared" si="262"/>
        <v>1548.81661891248</v>
      </c>
      <c r="P237" s="86" t="str">
        <f t="shared" si="212"/>
        <v>15</v>
      </c>
      <c r="Q237" s="4" t="str">
        <f t="shared" si="213"/>
        <v>1+2,83835469851105i</v>
      </c>
      <c r="R237" s="4">
        <f t="shared" si="224"/>
        <v>3.00936162575383</v>
      </c>
      <c r="S237" s="4">
        <f t="shared" si="225"/>
        <v>1.23205904986534</v>
      </c>
      <c r="T237" s="4" t="str">
        <f t="shared" si="214"/>
        <v>1+0,00194630036469329i</v>
      </c>
      <c r="U237" s="4">
        <f t="shared" si="226"/>
        <v>1.00000189404076</v>
      </c>
      <c r="V237" s="4">
        <f t="shared" si="227"/>
        <v>0.00194629790711507</v>
      </c>
      <c r="W237" t="str">
        <f t="shared" si="215"/>
        <v>1-0,170301281910663i</v>
      </c>
      <c r="X237" s="4">
        <f t="shared" si="228"/>
        <v>1.01439761761373</v>
      </c>
      <c r="Y237" s="4">
        <f t="shared" si="229"/>
        <v>-0.168682961992701</v>
      </c>
      <c r="Z237" t="str">
        <f t="shared" si="216"/>
        <v>0,999982941632576+0,0090363945503617i</v>
      </c>
      <c r="AA237" s="4">
        <f t="shared" si="230"/>
        <v>1.00002376970881</v>
      </c>
      <c r="AB237" s="4">
        <f t="shared" si="231"/>
        <v>0.00903630273869733</v>
      </c>
      <c r="AC237" s="67" t="str">
        <f t="shared" si="232"/>
        <v>0,820321533824702-4,9891094792346i</v>
      </c>
      <c r="AD237" s="68">
        <f t="shared" si="233"/>
        <v>14.076312011021</v>
      </c>
      <c r="AE237" s="31">
        <f t="shared" si="234"/>
        <v>-80.6628328197067</v>
      </c>
      <c r="AF237" s="32" t="str">
        <f t="shared" si="235"/>
        <v>75,4669735059805</v>
      </c>
      <c r="AG237" s="32" t="str">
        <f t="shared" si="217"/>
        <v>1+1,82465659189996i</v>
      </c>
      <c r="AH237" s="32">
        <f t="shared" si="236"/>
        <v>2.08071422313685</v>
      </c>
      <c r="AI237" s="32">
        <f t="shared" si="237"/>
        <v>1.06945275286195</v>
      </c>
      <c r="AJ237" s="32" t="str">
        <f t="shared" si="218"/>
        <v>1+0,00194630036469329i</v>
      </c>
      <c r="AK237" s="32">
        <f t="shared" si="238"/>
        <v>1.00000189404076</v>
      </c>
      <c r="AL237" s="32">
        <f t="shared" si="239"/>
        <v>0.00194629790711507</v>
      </c>
      <c r="AM237" s="32" t="str">
        <f t="shared" si="219"/>
        <v>1-0,0217602996004342i</v>
      </c>
      <c r="AN237" s="32">
        <f t="shared" si="240"/>
        <v>1.00023672729944</v>
      </c>
      <c r="AO237" s="32">
        <f t="shared" si="241"/>
        <v>-0.0217568659981024</v>
      </c>
      <c r="AP237" s="30" t="str">
        <f t="shared" si="242"/>
        <v>16,801919869387-32,1530364016231i</v>
      </c>
      <c r="AQ237" s="32">
        <f t="shared" si="243"/>
        <v>31.1929623492592</v>
      </c>
      <c r="AR237" s="31">
        <f t="shared" si="244"/>
        <v>-62.4101910690072</v>
      </c>
      <c r="AS237" t="str">
        <f t="shared" si="220"/>
        <v>-0,000338461538461538</v>
      </c>
      <c r="AT237" t="str">
        <f t="shared" si="221"/>
        <v>0,0017035383202051i</v>
      </c>
      <c r="AU237">
        <f t="shared" si="245"/>
        <v>0.0017035383202051</v>
      </c>
      <c r="AV237">
        <f t="shared" si="246"/>
        <v>1.5707963267949</v>
      </c>
      <c r="AW237" t="str">
        <f t="shared" si="222"/>
        <v>1+0,276477962896098i</v>
      </c>
      <c r="AX237">
        <f t="shared" si="247"/>
        <v>1.03751629575982</v>
      </c>
      <c r="AY237">
        <f t="shared" si="248"/>
        <v>0.269739741373514</v>
      </c>
      <c r="AZ237" t="str">
        <f t="shared" si="223"/>
        <v>1+2,41341245221968i</v>
      </c>
      <c r="BA237">
        <f t="shared" si="249"/>
        <v>2.61238581846729</v>
      </c>
      <c r="BB237">
        <f t="shared" si="250"/>
        <v>1.17797989199245</v>
      </c>
      <c r="BC237" s="30" t="str">
        <f t="shared" si="251"/>
        <v>-0,394419857664911+0,307729892724206i</v>
      </c>
      <c r="BD237" s="32">
        <f t="shared" si="252"/>
        <v>-6.01600384510755</v>
      </c>
      <c r="BE237" s="31">
        <f t="shared" si="253"/>
        <v>142.038327414791</v>
      </c>
      <c r="BF237" s="30" t="str">
        <f t="shared" si="254"/>
        <v>1,21174702222358+2,2202413082776i</v>
      </c>
      <c r="BG237" s="68">
        <f t="shared" si="255"/>
        <v>8.06030816591349</v>
      </c>
      <c r="BH237" s="31">
        <f t="shared" si="256"/>
        <v>61.3754945950845</v>
      </c>
      <c r="BI237" s="30" t="str">
        <f t="shared" si="209"/>
        <v>3,2674395992481+17,85224903999i</v>
      </c>
      <c r="BJ237" s="68">
        <f t="shared" si="257"/>
        <v>25.1769585041516</v>
      </c>
      <c r="BK237" s="31">
        <f t="shared" si="210"/>
        <v>79.6281363457839</v>
      </c>
      <c r="BL237" s="32">
        <f t="shared" si="258"/>
        <v>8.06030816591349</v>
      </c>
      <c r="BM237" s="31">
        <f t="shared" si="259"/>
        <v>61.3754945950845</v>
      </c>
      <c r="BO237">
        <f t="shared" si="260"/>
        <v>0</v>
      </c>
      <c r="BP237">
        <f t="shared" si="261"/>
        <v>0</v>
      </c>
    </row>
    <row r="238" spans="14:68">
      <c r="N238" s="7">
        <v>20</v>
      </c>
      <c r="O238" s="18">
        <f t="shared" si="262"/>
        <v>1584.89319246112</v>
      </c>
      <c r="P238" s="86" t="str">
        <f t="shared" si="212"/>
        <v>15</v>
      </c>
      <c r="Q238" s="4" t="str">
        <f t="shared" si="213"/>
        <v>1+2,90446847259352i</v>
      </c>
      <c r="R238" s="4">
        <f t="shared" si="224"/>
        <v>3.07179704868172</v>
      </c>
      <c r="S238" s="4">
        <f t="shared" si="225"/>
        <v>1.23921107042732</v>
      </c>
      <c r="T238" s="4" t="str">
        <f t="shared" si="214"/>
        <v>1+0,00199163552406413i</v>
      </c>
      <c r="U238" s="4">
        <f t="shared" si="226"/>
        <v>1.00000198330406</v>
      </c>
      <c r="V238" s="4">
        <f t="shared" si="227"/>
        <v>0.0019916328907219</v>
      </c>
      <c r="W238" t="str">
        <f t="shared" si="215"/>
        <v>1-0,174268108355611i</v>
      </c>
      <c r="X238" s="4">
        <f t="shared" si="228"/>
        <v>1.01507111750352</v>
      </c>
      <c r="Y238" s="4">
        <f t="shared" si="229"/>
        <v>-0.172535434807943</v>
      </c>
      <c r="Z238" t="str">
        <f t="shared" si="216"/>
        <v>0,999982137696487+0,00924687921886913i</v>
      </c>
      <c r="AA238" s="4">
        <f t="shared" si="230"/>
        <v>1.00002488993391</v>
      </c>
      <c r="AB238" s="4">
        <f t="shared" si="231"/>
        <v>0.009246780841004</v>
      </c>
      <c r="AC238" s="67" t="str">
        <f t="shared" si="232"/>
        <v>0,749501841784578-4,89962119428744i</v>
      </c>
      <c r="AD238" s="68">
        <f t="shared" si="233"/>
        <v>13.9037052569734</v>
      </c>
      <c r="AE238" s="31">
        <f t="shared" si="234"/>
        <v>-81.302805849618</v>
      </c>
      <c r="AF238" s="32" t="str">
        <f t="shared" si="235"/>
        <v>75,4669735059805</v>
      </c>
      <c r="AG238" s="32" t="str">
        <f t="shared" si="217"/>
        <v>1+1,86715830381012i</v>
      </c>
      <c r="AH238" s="32">
        <f t="shared" si="236"/>
        <v>2.11808407092048</v>
      </c>
      <c r="AI238" s="32">
        <f t="shared" si="237"/>
        <v>1.07909676004692</v>
      </c>
      <c r="AJ238" s="32" t="str">
        <f t="shared" si="218"/>
        <v>1+0,00199163552406413i</v>
      </c>
      <c r="AK238" s="32">
        <f t="shared" si="238"/>
        <v>1.00000198330406</v>
      </c>
      <c r="AL238" s="32">
        <f t="shared" si="239"/>
        <v>0.0019916328907219</v>
      </c>
      <c r="AM238" s="32" t="str">
        <f t="shared" si="219"/>
        <v>1-0,022267162091054i</v>
      </c>
      <c r="AN238" s="32">
        <f t="shared" si="240"/>
        <v>1.00024788253092</v>
      </c>
      <c r="AO238" s="32">
        <f t="shared" si="241"/>
        <v>-0.0222634829691112</v>
      </c>
      <c r="AP238" s="30" t="str">
        <f t="shared" si="242"/>
        <v>16,1856411890129-31,7512869748075i</v>
      </c>
      <c r="AQ238" s="32">
        <f t="shared" si="243"/>
        <v>31.0384448296811</v>
      </c>
      <c r="AR238" s="31">
        <f t="shared" si="244"/>
        <v>-62.9891814893434</v>
      </c>
      <c r="AS238" t="str">
        <f t="shared" si="220"/>
        <v>-0,000338461538461538</v>
      </c>
      <c r="AT238" t="str">
        <f t="shared" si="221"/>
        <v>0,00174321882514761i</v>
      </c>
      <c r="AU238">
        <f t="shared" si="245"/>
        <v>0.00174321882514761</v>
      </c>
      <c r="AV238">
        <f t="shared" si="246"/>
        <v>1.5707963267949</v>
      </c>
      <c r="AW238" t="str">
        <f t="shared" si="222"/>
        <v>1+0,282917961951635i</v>
      </c>
      <c r="AX238">
        <f t="shared" si="247"/>
        <v>1.0392509673774</v>
      </c>
      <c r="AY238">
        <f t="shared" si="248"/>
        <v>0.275712473284754</v>
      </c>
      <c r="AZ238" t="str">
        <f t="shared" si="223"/>
        <v>1+2,46962804983952i</v>
      </c>
      <c r="BA238">
        <f t="shared" si="249"/>
        <v>2.66440663273348</v>
      </c>
      <c r="BB238">
        <f t="shared" si="250"/>
        <v>1.18605640189427</v>
      </c>
      <c r="BC238" s="30" t="str">
        <f t="shared" si="251"/>
        <v>-0,39310426028747+0,305375207159296i</v>
      </c>
      <c r="BD238" s="32">
        <f t="shared" si="252"/>
        <v>-6.05925028774667</v>
      </c>
      <c r="BE238" s="31">
        <f t="shared" si="253"/>
        <v>142.158865014684</v>
      </c>
      <c r="BF238" s="30" t="str">
        <f t="shared" si="254"/>
        <v>1,20159047010878+2,15494124547041i</v>
      </c>
      <c r="BG238" s="68">
        <f t="shared" si="255"/>
        <v>7.8444549692267</v>
      </c>
      <c r="BH238" s="31">
        <f t="shared" si="256"/>
        <v>60.8560591650658</v>
      </c>
      <c r="BI238" s="30" t="str">
        <f t="shared" si="209"/>
        <v>3,33341133062077+17,4242597105077i</v>
      </c>
      <c r="BJ238" s="68">
        <f t="shared" si="257"/>
        <v>24.9791945419344</v>
      </c>
      <c r="BK238" s="31">
        <f t="shared" si="210"/>
        <v>79.1696835253404</v>
      </c>
      <c r="BL238" s="32">
        <f t="shared" si="258"/>
        <v>7.8444549692267</v>
      </c>
      <c r="BM238" s="31">
        <f t="shared" si="259"/>
        <v>60.8560591650658</v>
      </c>
      <c r="BO238">
        <f t="shared" si="260"/>
        <v>0</v>
      </c>
      <c r="BP238">
        <f t="shared" si="261"/>
        <v>0</v>
      </c>
    </row>
    <row r="239" spans="14:68">
      <c r="N239" s="7">
        <v>21</v>
      </c>
      <c r="O239" s="18">
        <f t="shared" si="262"/>
        <v>1621.81009735893</v>
      </c>
      <c r="P239" s="86" t="str">
        <f t="shared" si="212"/>
        <v>15</v>
      </c>
      <c r="Q239" s="4" t="str">
        <f t="shared" si="213"/>
        <v>1+2,97212223430532i</v>
      </c>
      <c r="R239" s="4">
        <f t="shared" si="224"/>
        <v>3.13584288121265</v>
      </c>
      <c r="S239" s="4">
        <f t="shared" si="225"/>
        <v>1.24623449150398</v>
      </c>
      <c r="T239" s="4" t="str">
        <f t="shared" si="214"/>
        <v>1+0,00203802667495222i</v>
      </c>
      <c r="U239" s="4">
        <f t="shared" si="226"/>
        <v>1.00000207677421</v>
      </c>
      <c r="V239" s="4">
        <f t="shared" si="227"/>
        <v>0.0020380238532755</v>
      </c>
      <c r="W239" t="str">
        <f t="shared" si="215"/>
        <v>1-0,178327334058319i</v>
      </c>
      <c r="X239" s="4">
        <f t="shared" si="228"/>
        <v>1.01577587984375</v>
      </c>
      <c r="Y239" s="4">
        <f t="shared" si="229"/>
        <v>-0.176472294662403</v>
      </c>
      <c r="Z239" t="str">
        <f t="shared" si="216"/>
        <v>0,999981295872058+0,00946226670513528i</v>
      </c>
      <c r="AA239" s="4">
        <f t="shared" si="230"/>
        <v>1.00002606295294</v>
      </c>
      <c r="AB239" s="4">
        <f t="shared" si="231"/>
        <v>0.00946216129147217</v>
      </c>
      <c r="AC239" s="67" t="str">
        <f t="shared" si="232"/>
        <v>0,681206181132195-4,81075854078747i</v>
      </c>
      <c r="AD239" s="68">
        <f t="shared" si="233"/>
        <v>13.7304888719155</v>
      </c>
      <c r="AE239" s="31">
        <f t="shared" si="234"/>
        <v>-81.9404660736888</v>
      </c>
      <c r="AF239" s="32" t="str">
        <f t="shared" si="235"/>
        <v>75,4669735059805</v>
      </c>
      <c r="AG239" s="32" t="str">
        <f t="shared" si="217"/>
        <v>1+1,91065000776771i</v>
      </c>
      <c r="AH239" s="32">
        <f t="shared" si="236"/>
        <v>2.15652114577686</v>
      </c>
      <c r="AI239" s="32">
        <f t="shared" si="237"/>
        <v>1.08861849461098</v>
      </c>
      <c r="AJ239" s="32" t="str">
        <f t="shared" si="218"/>
        <v>1+0,00203802667495222i</v>
      </c>
      <c r="AK239" s="32">
        <f t="shared" si="238"/>
        <v>1.00000207677421</v>
      </c>
      <c r="AL239" s="32">
        <f t="shared" si="239"/>
        <v>0.0020380238532755</v>
      </c>
      <c r="AM239" s="32" t="str">
        <f t="shared" si="219"/>
        <v>1-0,0227858309257552i</v>
      </c>
      <c r="AN239" s="32">
        <f t="shared" si="240"/>
        <v>1.00025956335892</v>
      </c>
      <c r="AO239" s="32">
        <f t="shared" si="241"/>
        <v>-0.0227818887308161</v>
      </c>
      <c r="AP239" s="30" t="str">
        <f t="shared" si="242"/>
        <v>15,5848900902858-31,343044365766i</v>
      </c>
      <c r="AQ239" s="32">
        <f t="shared" si="243"/>
        <v>30.8823365369207</v>
      </c>
      <c r="AR239" s="31">
        <f t="shared" si="244"/>
        <v>-63.5617811493672</v>
      </c>
      <c r="AS239" t="str">
        <f t="shared" si="220"/>
        <v>-0,000338461538461538</v>
      </c>
      <c r="AT239" t="str">
        <f t="shared" si="221"/>
        <v>0,00178382360778543i</v>
      </c>
      <c r="AU239">
        <f t="shared" si="245"/>
        <v>0.00178382360778543</v>
      </c>
      <c r="AV239">
        <f t="shared" si="246"/>
        <v>1.5707963267949</v>
      </c>
      <c r="AW239" t="str">
        <f t="shared" si="222"/>
        <v>1+0,289507967855461i</v>
      </c>
      <c r="AX239">
        <f t="shared" si="247"/>
        <v>1.04106429362062</v>
      </c>
      <c r="AY239">
        <f t="shared" si="248"/>
        <v>0.28180349994425</v>
      </c>
      <c r="AZ239" t="str">
        <f t="shared" si="223"/>
        <v>1+2,52715307694075i</v>
      </c>
      <c r="BA239">
        <f t="shared" si="249"/>
        <v>2.71781211166098</v>
      </c>
      <c r="BB239">
        <f t="shared" si="250"/>
        <v>1.19400044265841</v>
      </c>
      <c r="BC239" s="30" t="str">
        <f t="shared" si="251"/>
        <v>-0,391736034568255+0,303150057006711i</v>
      </c>
      <c r="BD239" s="32">
        <f t="shared" si="252"/>
        <v>-6.1020140936199</v>
      </c>
      <c r="BE239" s="31">
        <f t="shared" si="253"/>
        <v>142.265034902259</v>
      </c>
      <c r="BF239" s="30" t="str">
        <f t="shared" si="254"/>
        <v>1,19152871776513+2,091055166677i</v>
      </c>
      <c r="BG239" s="68">
        <f t="shared" si="255"/>
        <v>7.62847477829564</v>
      </c>
      <c r="BH239" s="31">
        <f t="shared" si="256"/>
        <v>60.3245688285698</v>
      </c>
      <c r="BI239" s="30" t="str">
        <f t="shared" si="209"/>
        <v>3,39648264309518+17,0027602304555i</v>
      </c>
      <c r="BJ239" s="68">
        <f t="shared" si="257"/>
        <v>24.7803224433008</v>
      </c>
      <c r="BK239" s="31">
        <f t="shared" si="210"/>
        <v>78.7032537528913</v>
      </c>
      <c r="BL239" s="32">
        <f t="shared" si="258"/>
        <v>7.62847477829564</v>
      </c>
      <c r="BM239" s="31">
        <f t="shared" si="259"/>
        <v>60.3245688285698</v>
      </c>
      <c r="BO239">
        <f t="shared" si="260"/>
        <v>0</v>
      </c>
      <c r="BP239">
        <f t="shared" si="261"/>
        <v>0</v>
      </c>
    </row>
    <row r="240" spans="14:68">
      <c r="N240" s="7">
        <v>22</v>
      </c>
      <c r="O240" s="18">
        <f t="shared" si="262"/>
        <v>1659.58690743756</v>
      </c>
      <c r="P240" s="86" t="str">
        <f t="shared" si="212"/>
        <v>15</v>
      </c>
      <c r="Q240" s="4" t="str">
        <f t="shared" si="213"/>
        <v>1+3,04135185456646i</v>
      </c>
      <c r="R240" s="4">
        <f t="shared" si="224"/>
        <v>3.20153417961996</v>
      </c>
      <c r="S240" s="4">
        <f t="shared" si="225"/>
        <v>1.25313026446246</v>
      </c>
      <c r="T240" s="4" t="str">
        <f t="shared" si="214"/>
        <v>1+0,00208549841455986i</v>
      </c>
      <c r="U240" s="4">
        <f t="shared" si="226"/>
        <v>1.00000217464945</v>
      </c>
      <c r="V240" s="4">
        <f t="shared" si="227"/>
        <v>0.00208549539107914</v>
      </c>
      <c r="W240" t="str">
        <f t="shared" si="215"/>
        <v>1-0,182481111273988i</v>
      </c>
      <c r="X240" s="4">
        <f t="shared" si="228"/>
        <v>1.01651333290409</v>
      </c>
      <c r="Y240" s="4">
        <f t="shared" si="229"/>
        <v>-0.180495140553823</v>
      </c>
      <c r="Z240" t="str">
        <f t="shared" si="216"/>
        <v>0,999980414373665+0,00968267121045647i</v>
      </c>
      <c r="AA240" s="4">
        <f t="shared" si="230"/>
        <v>1.00002729125394</v>
      </c>
      <c r="AB240" s="4">
        <f t="shared" si="231"/>
        <v>0.00968255825781447</v>
      </c>
      <c r="AC240" s="67" t="str">
        <f t="shared" si="232"/>
        <v>0,615370600307046-4,72257943527775i</v>
      </c>
      <c r="AD240" s="68">
        <f t="shared" si="233"/>
        <v>13.5567057569554</v>
      </c>
      <c r="AE240" s="31">
        <f t="shared" si="234"/>
        <v>-82.5759647491258</v>
      </c>
      <c r="AF240" s="32" t="str">
        <f t="shared" si="235"/>
        <v>75,4669735059805</v>
      </c>
      <c r="AG240" s="32" t="str">
        <f t="shared" si="217"/>
        <v>1+1,95515476364987i</v>
      </c>
      <c r="AH240" s="32">
        <f t="shared" si="236"/>
        <v>2.19604875852582</v>
      </c>
      <c r="AI240" s="32">
        <f t="shared" si="237"/>
        <v>1.09801609808338</v>
      </c>
      <c r="AJ240" s="32" t="str">
        <f t="shared" si="218"/>
        <v>1+0,00208549841455986i</v>
      </c>
      <c r="AK240" s="32">
        <f t="shared" si="238"/>
        <v>1.00000217464945</v>
      </c>
      <c r="AL240" s="32">
        <f t="shared" si="239"/>
        <v>0.00208549539107914</v>
      </c>
      <c r="AM240" s="32" t="str">
        <f t="shared" si="219"/>
        <v>1-0,0233165811096194i</v>
      </c>
      <c r="AN240" s="32">
        <f t="shared" si="240"/>
        <v>1.00027179454118</v>
      </c>
      <c r="AO240" s="32">
        <f t="shared" si="241"/>
        <v>-0.0233123570336253</v>
      </c>
      <c r="AP240" s="30" t="str">
        <f t="shared" si="242"/>
        <v>14,9996999434219-30,9289803529514i</v>
      </c>
      <c r="AQ240" s="32">
        <f t="shared" si="243"/>
        <v>30.724678447971</v>
      </c>
      <c r="AR240" s="31">
        <f t="shared" si="244"/>
        <v>-64.1278978420261</v>
      </c>
      <c r="AS240" t="str">
        <f t="shared" si="220"/>
        <v>-0,000338461538461538</v>
      </c>
      <c r="AT240" t="str">
        <f t="shared" si="221"/>
        <v>0,00182537419731181i</v>
      </c>
      <c r="AU240">
        <f t="shared" si="245"/>
        <v>0.00182537419731181</v>
      </c>
      <c r="AV240">
        <f t="shared" si="246"/>
        <v>1.5707963267949</v>
      </c>
      <c r="AW240" t="str">
        <f t="shared" si="222"/>
        <v>1+0,296251474715936i</v>
      </c>
      <c r="AX240">
        <f t="shared" si="247"/>
        <v>1.04295970021443</v>
      </c>
      <c r="AY240">
        <f t="shared" si="248"/>
        <v>0.288014242345726</v>
      </c>
      <c r="AZ240" t="str">
        <f t="shared" si="223"/>
        <v>1+2,58601803405423i</v>
      </c>
      <c r="BA240">
        <f t="shared" si="249"/>
        <v>2.77263219206113</v>
      </c>
      <c r="BB240">
        <f t="shared" si="250"/>
        <v>1.20181221463614</v>
      </c>
      <c r="BC240" s="30" t="str">
        <f t="shared" si="251"/>
        <v>-0,390313497574284+0,301051307976684i</v>
      </c>
      <c r="BD240" s="32">
        <f t="shared" si="252"/>
        <v>-6.14435698750177</v>
      </c>
      <c r="BE240" s="31">
        <f t="shared" si="253"/>
        <v>142.356767139853</v>
      </c>
      <c r="BF240" s="30" t="str">
        <f t="shared" si="254"/>
        <v>1,18155126470393+2,02854462106848i</v>
      </c>
      <c r="BG240" s="68">
        <f t="shared" si="255"/>
        <v>7.41234876945366</v>
      </c>
      <c r="BH240" s="31">
        <f t="shared" si="256"/>
        <v>59.7808023907274</v>
      </c>
      <c r="BI240" s="30" t="str">
        <f t="shared" si="209"/>
        <v>3,45662464215939+16,5876777851917i</v>
      </c>
      <c r="BJ240" s="68">
        <f t="shared" si="257"/>
        <v>24.5803214604692</v>
      </c>
      <c r="BK240" s="31">
        <f t="shared" si="210"/>
        <v>78.2288692978271</v>
      </c>
      <c r="BL240" s="32">
        <f t="shared" si="258"/>
        <v>7.41234876945366</v>
      </c>
      <c r="BM240" s="31">
        <f t="shared" si="259"/>
        <v>59.7808023907274</v>
      </c>
      <c r="BO240">
        <f t="shared" si="260"/>
        <v>0</v>
      </c>
      <c r="BP240">
        <f t="shared" si="261"/>
        <v>0</v>
      </c>
    </row>
    <row r="241" spans="14:68">
      <c r="N241" s="7">
        <v>23</v>
      </c>
      <c r="O241" s="18">
        <f t="shared" si="262"/>
        <v>1698.24365246174</v>
      </c>
      <c r="P241" s="86" t="str">
        <f t="shared" si="212"/>
        <v>15</v>
      </c>
      <c r="Q241" s="4" t="str">
        <f t="shared" si="213"/>
        <v>1+3,11219403983792i</v>
      </c>
      <c r="R241" s="4">
        <f t="shared" si="224"/>
        <v>3.26890681139776</v>
      </c>
      <c r="S241" s="4">
        <f t="shared" si="225"/>
        <v>1.25989942140493</v>
      </c>
      <c r="T241" s="4" t="str">
        <f t="shared" si="214"/>
        <v>1+0,00213407591303172i</v>
      </c>
      <c r="U241" s="4">
        <f t="shared" si="226"/>
        <v>1.00000227713741</v>
      </c>
      <c r="V241" s="4">
        <f t="shared" si="227"/>
        <v>0.00213407267331415</v>
      </c>
      <c r="W241" t="str">
        <f t="shared" si="215"/>
        <v>1-0,186731642390276i</v>
      </c>
      <c r="X241" s="4">
        <f t="shared" si="228"/>
        <v>1.01728496807422</v>
      </c>
      <c r="Y241" s="4">
        <f t="shared" si="229"/>
        <v>-0.184605584368281</v>
      </c>
      <c r="Z241" t="str">
        <f t="shared" si="216"/>
        <v>0,999979491331533+0,00990820959621867i</v>
      </c>
      <c r="AA241" s="4">
        <f t="shared" si="230"/>
        <v>1.0000285774422</v>
      </c>
      <c r="AB241" s="4">
        <f t="shared" si="231"/>
        <v>0.00990808856543147</v>
      </c>
      <c r="AC241" s="67" t="str">
        <f t="shared" si="232"/>
        <v>0,551930643257732-4,63513759062806i</v>
      </c>
      <c r="AD241" s="68">
        <f t="shared" si="233"/>
        <v>13.3823984853279</v>
      </c>
      <c r="AE241" s="31">
        <f t="shared" si="234"/>
        <v>-83.2094586168117</v>
      </c>
      <c r="AF241" s="32" t="str">
        <f t="shared" si="235"/>
        <v>75,4669735059805</v>
      </c>
      <c r="AG241" s="32" t="str">
        <f t="shared" si="217"/>
        <v>1+2,00069616846724i</v>
      </c>
      <c r="AH241" s="32">
        <f t="shared" si="236"/>
        <v>2.2366906711746</v>
      </c>
      <c r="AI241" s="32">
        <f t="shared" si="237"/>
        <v>1.10728791272539</v>
      </c>
      <c r="AJ241" s="32" t="str">
        <f t="shared" si="218"/>
        <v>1+0,00213407591303172i</v>
      </c>
      <c r="AK241" s="32">
        <f t="shared" si="238"/>
        <v>1.00000227713741</v>
      </c>
      <c r="AL241" s="32">
        <f t="shared" si="239"/>
        <v>0.00213407267331415</v>
      </c>
      <c r="AM241" s="32" t="str">
        <f t="shared" si="219"/>
        <v>1-0,0238596940534193i</v>
      </c>
      <c r="AN241" s="32">
        <f t="shared" si="240"/>
        <v>1.00028460200101</v>
      </c>
      <c r="AO241" s="32">
        <f t="shared" si="241"/>
        <v>-0.0238551679439942</v>
      </c>
      <c r="AP241" s="30" t="str">
        <f t="shared" si="242"/>
        <v>14,430070283682-30,5097529758772i</v>
      </c>
      <c r="AQ241" s="32">
        <f t="shared" si="243"/>
        <v>30.5655115927685</v>
      </c>
      <c r="AR241" s="31">
        <f t="shared" si="244"/>
        <v>-64.6874511904266</v>
      </c>
      <c r="AS241" t="str">
        <f t="shared" si="220"/>
        <v>-0,000338461538461538</v>
      </c>
      <c r="AT241" t="str">
        <f t="shared" si="221"/>
        <v>0,00186789262439928i</v>
      </c>
      <c r="AU241">
        <f t="shared" si="245"/>
        <v>0.00186789262439928</v>
      </c>
      <c r="AV241">
        <f t="shared" si="246"/>
        <v>1.5707963267949</v>
      </c>
      <c r="AW241" t="str">
        <f t="shared" si="222"/>
        <v>1+0,303152058029655i</v>
      </c>
      <c r="AX241">
        <f t="shared" si="247"/>
        <v>1.04494074965407</v>
      </c>
      <c r="AY241">
        <f t="shared" si="248"/>
        <v>0.294346076224159</v>
      </c>
      <c r="AZ241" t="str">
        <f t="shared" si="223"/>
        <v>1+2,64625413215933i</v>
      </c>
      <c r="BA241">
        <f t="shared" si="249"/>
        <v>2.82889747639789</v>
      </c>
      <c r="BB241">
        <f t="shared" si="250"/>
        <v>1.20949204507477</v>
      </c>
      <c r="BC241" s="30" t="str">
        <f t="shared" si="251"/>
        <v>-0,388834949872715+0,299075791350729i</v>
      </c>
      <c r="BD241" s="32">
        <f t="shared" si="252"/>
        <v>-6.1863408110465</v>
      </c>
      <c r="BE241" s="31">
        <f t="shared" si="253"/>
        <v>142.434001653551</v>
      </c>
      <c r="BF241" s="30" t="str">
        <f t="shared" si="254"/>
        <v>1,17164751893226+1,96737258660802i</v>
      </c>
      <c r="BG241" s="68">
        <f t="shared" si="255"/>
        <v>7.19605767428136</v>
      </c>
      <c r="BH241" s="31">
        <f t="shared" si="256"/>
        <v>59.224543036739</v>
      </c>
      <c r="BI241" s="30" t="str">
        <f t="shared" si="209"/>
        <v>3,51381285976049+16,178942958343i</v>
      </c>
      <c r="BJ241" s="68">
        <f t="shared" si="257"/>
        <v>24.379170781722</v>
      </c>
      <c r="BK241" s="31">
        <f t="shared" si="210"/>
        <v>77.7465504631241</v>
      </c>
      <c r="BL241" s="32">
        <f t="shared" si="258"/>
        <v>7.19605767428136</v>
      </c>
      <c r="BM241" s="31">
        <f t="shared" si="259"/>
        <v>59.224543036739</v>
      </c>
      <c r="BO241">
        <f t="shared" si="260"/>
        <v>0</v>
      </c>
      <c r="BP241">
        <f t="shared" si="261"/>
        <v>0</v>
      </c>
    </row>
    <row r="242" spans="14:68">
      <c r="N242" s="7">
        <v>24</v>
      </c>
      <c r="O242" s="18">
        <f t="shared" si="262"/>
        <v>1737.80082874938</v>
      </c>
      <c r="P242" s="86" t="str">
        <f t="shared" si="212"/>
        <v>15</v>
      </c>
      <c r="Q242" s="4" t="str">
        <f t="shared" si="213"/>
        <v>1+3,18468635158409i</v>
      </c>
      <c r="R242" s="4">
        <f t="shared" si="224"/>
        <v>3.33799747722583</v>
      </c>
      <c r="S242" s="4">
        <f t="shared" si="225"/>
        <v>1.26654306918872</v>
      </c>
      <c r="T242" s="4" t="str">
        <f t="shared" si="214"/>
        <v>1+0,00218378492680052i</v>
      </c>
      <c r="U242" s="4">
        <f t="shared" si="226"/>
        <v>1.00000238445546</v>
      </c>
      <c r="V242" s="4">
        <f t="shared" si="227"/>
        <v>0.00218378145538105</v>
      </c>
      <c r="W242" t="str">
        <f t="shared" si="215"/>
        <v>1-0,191081181095046i</v>
      </c>
      <c r="X242" s="4">
        <f t="shared" si="228"/>
        <v>1.01809234245656</v>
      </c>
      <c r="Y242" s="4">
        <f t="shared" si="229"/>
        <v>-0.188805249653092</v>
      </c>
      <c r="Z242" t="str">
        <f t="shared" si="216"/>
        <v>0,999978524787766+0,0101390014458595i</v>
      </c>
      <c r="AA242" s="4">
        <f t="shared" si="230"/>
        <v>1.00002992424579</v>
      </c>
      <c r="AB242" s="4">
        <f t="shared" si="231"/>
        <v>0.010138871759202</v>
      </c>
      <c r="AC242" s="67" t="str">
        <f t="shared" si="232"/>
        <v>0,490821564286716-4,54848264139341i</v>
      </c>
      <c r="AD242" s="68">
        <f t="shared" si="233"/>
        <v>13.2076093136788</v>
      </c>
      <c r="AE242" s="31">
        <f t="shared" si="234"/>
        <v>-83.8411094911498</v>
      </c>
      <c r="AF242" s="32" t="str">
        <f t="shared" si="235"/>
        <v>75,4669735059805</v>
      </c>
      <c r="AG242" s="32" t="str">
        <f t="shared" si="217"/>
        <v>1+2,04729836887549i</v>
      </c>
      <c r="AH242" s="32">
        <f t="shared" si="236"/>
        <v>2.27847111265433</v>
      </c>
      <c r="AI242" s="32">
        <f t="shared" si="237"/>
        <v>1.11643247712751</v>
      </c>
      <c r="AJ242" s="32" t="str">
        <f t="shared" si="218"/>
        <v>1+0,00218378492680052i</v>
      </c>
      <c r="AK242" s="32">
        <f t="shared" si="238"/>
        <v>1.00000238445546</v>
      </c>
      <c r="AL242" s="32">
        <f t="shared" si="239"/>
        <v>0.00218378145538105</v>
      </c>
      <c r="AM242" s="32" t="str">
        <f t="shared" si="219"/>
        <v>1-0,0244154577228268i</v>
      </c>
      <c r="AN242" s="32">
        <f t="shared" si="240"/>
        <v>1.00029801288207</v>
      </c>
      <c r="AO242" s="32">
        <f t="shared" si="241"/>
        <v>-0.0244106079872329</v>
      </c>
      <c r="AP242" s="30" t="str">
        <f t="shared" si="242"/>
        <v>13,8759685645557-30,0860048706738i</v>
      </c>
      <c r="AQ242" s="32">
        <f t="shared" si="243"/>
        <v>30.4048769682476</v>
      </c>
      <c r="AR242" s="31">
        <f t="shared" si="244"/>
        <v>-65.2403724029869</v>
      </c>
      <c r="AS242" t="str">
        <f t="shared" si="220"/>
        <v>-0,000338461538461538</v>
      </c>
      <c r="AT242" t="str">
        <f t="shared" si="221"/>
        <v>0,00191140143288069i</v>
      </c>
      <c r="AU242">
        <f t="shared" si="245"/>
        <v>0.00191140143288069</v>
      </c>
      <c r="AV242">
        <f t="shared" si="246"/>
        <v>1.5707963267949</v>
      </c>
      <c r="AW242" t="str">
        <f t="shared" si="222"/>
        <v>1+0,310213376577236i</v>
      </c>
      <c r="AX242">
        <f t="shared" si="247"/>
        <v>1.04701114559848</v>
      </c>
      <c r="AY242">
        <f t="shared" si="248"/>
        <v>0.300800327189194</v>
      </c>
      <c r="AZ242" t="str">
        <f t="shared" si="223"/>
        <v>1+2,70789330923264i</v>
      </c>
      <c r="BA242">
        <f t="shared" si="249"/>
        <v>2.8866392525196</v>
      </c>
      <c r="BB242">
        <f t="shared" si="250"/>
        <v>1.21704038127089</v>
      </c>
      <c r="BC242" s="30" t="str">
        <f t="shared" si="251"/>
        <v>-0,38729867903656+0,297220298841692i</v>
      </c>
      <c r="BD242" s="32">
        <f t="shared" si="252"/>
        <v>-6.22802750072109</v>
      </c>
      <c r="BE242" s="31">
        <f t="shared" si="253"/>
        <v>142.49668811972</v>
      </c>
      <c r="BF242" s="30" t="str">
        <f t="shared" si="254"/>
        <v>1,16180682646029+1,90750345064764i</v>
      </c>
      <c r="BG242" s="68">
        <f t="shared" si="255"/>
        <v>6.97958181295773</v>
      </c>
      <c r="BH242" s="31">
        <f t="shared" si="256"/>
        <v>58.65557862857</v>
      </c>
      <c r="BI242" s="30" t="str">
        <f t="shared" ref="BI242:BI305" si="263">IMPRODUCT(AP242,BC242)</f>
        <v>3,56802706320901+15,7764894673746i</v>
      </c>
      <c r="BJ242" s="68">
        <f t="shared" si="257"/>
        <v>24.1768494675265</v>
      </c>
      <c r="BK242" s="31">
        <f t="shared" ref="BK242:BK305" si="264">(180/PI())*IMARGUMENT(BI242)</f>
        <v>77.2563157167327</v>
      </c>
      <c r="BL242" s="32">
        <f t="shared" si="258"/>
        <v>6.97958181295773</v>
      </c>
      <c r="BM242" s="31">
        <f t="shared" si="259"/>
        <v>58.65557862857</v>
      </c>
      <c r="BO242">
        <f t="shared" si="260"/>
        <v>0</v>
      </c>
      <c r="BP242">
        <f t="shared" si="261"/>
        <v>0</v>
      </c>
    </row>
    <row r="243" spans="14:68">
      <c r="N243" s="7">
        <v>25</v>
      </c>
      <c r="O243" s="18">
        <f t="shared" si="262"/>
        <v>1778.27941003892</v>
      </c>
      <c r="P243" s="86" t="str">
        <f t="shared" si="212"/>
        <v>15</v>
      </c>
      <c r="Q243" s="4" t="str">
        <f t="shared" si="213"/>
        <v>1+3,25886722618817i</v>
      </c>
      <c r="R243" s="4">
        <f t="shared" si="224"/>
        <v>3.40884373328015</v>
      </c>
      <c r="S243" s="4">
        <f t="shared" si="225"/>
        <v>1.27306238363258</v>
      </c>
      <c r="T243" s="4" t="str">
        <f t="shared" si="214"/>
        <v>1+0,00223465181224332i</v>
      </c>
      <c r="U243" s="4">
        <f t="shared" si="226"/>
        <v>1.00000249683124</v>
      </c>
      <c r="V243" s="4">
        <f t="shared" si="227"/>
        <v>0.00223464809255085</v>
      </c>
      <c r="W243" t="str">
        <f t="shared" si="215"/>
        <v>1-0,195532033571291i</v>
      </c>
      <c r="X243" s="4">
        <f t="shared" si="228"/>
        <v>1.01893708154749</v>
      </c>
      <c r="Y243" s="4">
        <f t="shared" si="229"/>
        <v>-0.193095770275941</v>
      </c>
      <c r="Z243" t="str">
        <f t="shared" si="216"/>
        <v>0,999977512692194+0,0103751691282725i</v>
      </c>
      <c r="AA243" s="4">
        <f t="shared" si="230"/>
        <v>1.00003133452133</v>
      </c>
      <c r="AB243" s="4">
        <f t="shared" si="231"/>
        <v>0.0103750301667033</v>
      </c>
      <c r="AC243" s="67" t="str">
        <f t="shared" si="232"/>
        <v>0,431978526844305-4,46266027599215i</v>
      </c>
      <c r="AD243" s="68">
        <f t="shared" si="233"/>
        <v>13.0323801961765</v>
      </c>
      <c r="AE243" s="31">
        <f t="shared" si="234"/>
        <v>-84.4710838541235</v>
      </c>
      <c r="AF243" s="32" t="str">
        <f t="shared" si="235"/>
        <v>75,4669735059805</v>
      </c>
      <c r="AG243" s="32" t="str">
        <f t="shared" si="217"/>
        <v>1+2,09498607397811i</v>
      </c>
      <c r="AH243" s="32">
        <f t="shared" si="236"/>
        <v>2.32141479493912</v>
      </c>
      <c r="AI243" s="32">
        <f t="shared" si="237"/>
        <v>1.12544852133177</v>
      </c>
      <c r="AJ243" s="32" t="str">
        <f t="shared" si="218"/>
        <v>1+0,00223465181224332i</v>
      </c>
      <c r="AK243" s="32">
        <f t="shared" si="238"/>
        <v>1.00000249683124</v>
      </c>
      <c r="AL243" s="32">
        <f t="shared" si="239"/>
        <v>0.00223464809255085</v>
      </c>
      <c r="AM243" s="32" t="str">
        <f t="shared" si="219"/>
        <v>1-0,0249841667910958i</v>
      </c>
      <c r="AN243" s="32">
        <f t="shared" si="240"/>
        <v>1.00031205560577</v>
      </c>
      <c r="AO243" s="32">
        <f t="shared" si="241"/>
        <v>-0.0249789702933324</v>
      </c>
      <c r="AP243" s="30" t="str">
        <f t="shared" si="242"/>
        <v>13,3373319716204-29,6583617887508i</v>
      </c>
      <c r="AQ243" s="32">
        <f t="shared" si="243"/>
        <v>30.2428154570984</v>
      </c>
      <c r="AR243" s="31">
        <f t="shared" si="244"/>
        <v>-65.78660400154</v>
      </c>
      <c r="AS243" t="str">
        <f t="shared" si="220"/>
        <v>-0,000338461538461538</v>
      </c>
      <c r="AT243" t="str">
        <f t="shared" si="221"/>
        <v>0,0019559236917022i</v>
      </c>
      <c r="AU243">
        <f t="shared" si="245"/>
        <v>0.0019559236917022</v>
      </c>
      <c r="AV243">
        <f t="shared" si="246"/>
        <v>1.5707963267949</v>
      </c>
      <c r="AW243" t="str">
        <f t="shared" si="222"/>
        <v>1+0,317439174363237i</v>
      </c>
      <c r="AX243">
        <f t="shared" si="247"/>
        <v>1.0491747373152</v>
      </c>
      <c r="AY243">
        <f t="shared" si="248"/>
        <v>0.307378265646512</v>
      </c>
      <c r="AZ243" t="str">
        <f t="shared" si="223"/>
        <v>1+2,77096824718172i</v>
      </c>
      <c r="BA243">
        <f t="shared" si="249"/>
        <v>2.9458895136935</v>
      </c>
      <c r="BB243">
        <f t="shared" si="250"/>
        <v>1.22445778378108</v>
      </c>
      <c r="BC243" s="30" t="str">
        <f t="shared" si="251"/>
        <v>-0,385702963520369+0,295481577518971i</v>
      </c>
      <c r="BD243" s="32">
        <f t="shared" si="252"/>
        <v>-6.26947906802158</v>
      </c>
      <c r="BE243" s="31">
        <f t="shared" si="253"/>
        <v>142.544785867002</v>
      </c>
      <c r="BF243" s="30" t="str">
        <f t="shared" si="254"/>
        <v>1,1520185003004+1,84890299020108i</v>
      </c>
      <c r="BG243" s="68">
        <f t="shared" si="255"/>
        <v>6.76290112815492</v>
      </c>
      <c r="BH243" s="31">
        <f t="shared" si="256"/>
        <v>58.0737020128785</v>
      </c>
      <c r="BI243" s="30" t="str">
        <f t="shared" si="263"/>
        <v>3,6192510610595+15,3802539259491i</v>
      </c>
      <c r="BJ243" s="68">
        <f t="shared" si="257"/>
        <v>23.9733363890769</v>
      </c>
      <c r="BK243" s="31">
        <f t="shared" si="264"/>
        <v>76.7581818654621</v>
      </c>
      <c r="BL243" s="32">
        <f t="shared" si="258"/>
        <v>6.76290112815492</v>
      </c>
      <c r="BM243" s="31">
        <f t="shared" si="259"/>
        <v>58.0737020128785</v>
      </c>
      <c r="BO243">
        <f t="shared" si="260"/>
        <v>0</v>
      </c>
      <c r="BP243">
        <f t="shared" si="261"/>
        <v>0</v>
      </c>
    </row>
    <row r="244" spans="14:68">
      <c r="N244" s="7">
        <v>26</v>
      </c>
      <c r="O244" s="18">
        <f t="shared" si="262"/>
        <v>1819.70085860998</v>
      </c>
      <c r="P244" s="86" t="str">
        <f t="shared" si="212"/>
        <v>15</v>
      </c>
      <c r="Q244" s="4" t="str">
        <f t="shared" si="213"/>
        <v>1+3,33477599533175i</v>
      </c>
      <c r="R244" s="4">
        <f t="shared" si="224"/>
        <v>3.48148401389994</v>
      </c>
      <c r="S244" s="4">
        <f t="shared" si="225"/>
        <v>1.27945860391815</v>
      </c>
      <c r="T244" s="4" t="str">
        <f t="shared" si="214"/>
        <v>1+0,00228670353965606i</v>
      </c>
      <c r="U244" s="4">
        <f t="shared" si="226"/>
        <v>1.00000261450312</v>
      </c>
      <c r="V244" s="4">
        <f t="shared" si="227"/>
        <v>0.00228669955393433</v>
      </c>
      <c r="W244" t="str">
        <f t="shared" si="215"/>
        <v>1-0,200086559719905i</v>
      </c>
      <c r="X244" s="4">
        <f t="shared" si="228"/>
        <v>1.01982088200848</v>
      </c>
      <c r="Y244" s="4">
        <f t="shared" si="229"/>
        <v>-0.197478788964157</v>
      </c>
      <c r="Z244" t="str">
        <f t="shared" si="216"/>
        <v>0,999976452898028+0,0106168378626888i</v>
      </c>
      <c r="AA244" s="4">
        <f t="shared" si="230"/>
        <v>1.00003281126007</v>
      </c>
      <c r="AB244" s="4">
        <f t="shared" si="231"/>
        <v>0.0106166889628956</v>
      </c>
      <c r="AC244" s="67" t="str">
        <f t="shared" si="232"/>
        <v>0,375336786626788-4,37771237432443i</v>
      </c>
      <c r="AD244" s="68">
        <f t="shared" si="233"/>
        <v>12.8567528012166</v>
      </c>
      <c r="AE244" s="31">
        <f t="shared" si="234"/>
        <v>-85.0995524537335</v>
      </c>
      <c r="AF244" s="32" t="str">
        <f t="shared" si="235"/>
        <v>75,4669735059805</v>
      </c>
      <c r="AG244" s="32" t="str">
        <f t="shared" si="217"/>
        <v>1+2,14378456842756i</v>
      </c>
      <c r="AH244" s="32">
        <f t="shared" si="236"/>
        <v>2.36554692953409</v>
      </c>
      <c r="AI244" s="32">
        <f t="shared" si="237"/>
        <v>1.13433496153432</v>
      </c>
      <c r="AJ244" s="32" t="str">
        <f t="shared" si="218"/>
        <v>1+0,00228670353965606i</v>
      </c>
      <c r="AK244" s="32">
        <f t="shared" si="238"/>
        <v>1.00000261450312</v>
      </c>
      <c r="AL244" s="32">
        <f t="shared" si="239"/>
        <v>0.00228669955393433</v>
      </c>
      <c r="AM244" s="32" t="str">
        <f t="shared" si="219"/>
        <v>1-0,0255661227953017i</v>
      </c>
      <c r="AN244" s="32">
        <f t="shared" si="240"/>
        <v>1.00032675993137</v>
      </c>
      <c r="AO244" s="32">
        <f t="shared" si="241"/>
        <v>-0.0255605547458582</v>
      </c>
      <c r="AP244" s="30" t="str">
        <f t="shared" si="242"/>
        <v>12,814069279431-29,2274312962062i</v>
      </c>
      <c r="AQ244" s="32">
        <f t="shared" si="243"/>
        <v>30.0793677513616</v>
      </c>
      <c r="AR244" s="31">
        <f t="shared" si="244"/>
        <v>-66.326099525547</v>
      </c>
      <c r="AS244" t="str">
        <f t="shared" si="220"/>
        <v>-0,000338461538461538</v>
      </c>
      <c r="AT244" t="str">
        <f t="shared" si="221"/>
        <v>0,00200148300715476i</v>
      </c>
      <c r="AU244">
        <f t="shared" si="245"/>
        <v>0.00200148300715476</v>
      </c>
      <c r="AV244">
        <f t="shared" si="246"/>
        <v>1.5707963267949</v>
      </c>
      <c r="AW244" t="str">
        <f t="shared" si="222"/>
        <v>1+0,324833282601286i</v>
      </c>
      <c r="AX244">
        <f t="shared" si="247"/>
        <v>1.05143552416947</v>
      </c>
      <c r="AY244">
        <f t="shared" si="248"/>
        <v>0.31408110150999</v>
      </c>
      <c r="AZ244" t="str">
        <f t="shared" si="223"/>
        <v>1+2,83551238917351i</v>
      </c>
      <c r="BA244">
        <f t="shared" si="249"/>
        <v>3.00668097894613</v>
      </c>
      <c r="BB244">
        <f t="shared" si="250"/>
        <v>1.23174491971649</v>
      </c>
      <c r="BC244" s="30" t="str">
        <f t="shared" si="251"/>
        <v>-0,384046076921384+0,293856324825297i</v>
      </c>
      <c r="BD244" s="32">
        <f t="shared" si="252"/>
        <v>-6.31075758160161</v>
      </c>
      <c r="BE244" s="31">
        <f t="shared" si="253"/>
        <v>142.578263795093</v>
      </c>
      <c r="BF244" s="30" t="str">
        <f t="shared" si="254"/>
        <v>1,14227184903291+1,79153835193938i</v>
      </c>
      <c r="BG244" s="68">
        <f t="shared" si="255"/>
        <v>6.54599521961496</v>
      </c>
      <c r="BH244" s="31">
        <f t="shared" si="256"/>
        <v>57.4787113413592</v>
      </c>
      <c r="BI244" s="30" t="str">
        <f t="shared" si="263"/>
        <v>3,66747250862272+14,9901756323076i</v>
      </c>
      <c r="BJ244" s="68">
        <f t="shared" si="257"/>
        <v>23.76861016976</v>
      </c>
      <c r="BK244" s="31">
        <f t="shared" si="264"/>
        <v>76.2521642695458</v>
      </c>
      <c r="BL244" s="32">
        <f t="shared" si="258"/>
        <v>6.54599521961496</v>
      </c>
      <c r="BM244" s="31">
        <f t="shared" si="259"/>
        <v>57.4787113413592</v>
      </c>
      <c r="BO244">
        <f t="shared" si="260"/>
        <v>0</v>
      </c>
      <c r="BP244">
        <f t="shared" si="261"/>
        <v>0</v>
      </c>
    </row>
    <row r="245" spans="14:68">
      <c r="N245" s="7">
        <v>27</v>
      </c>
      <c r="O245" s="18">
        <f t="shared" si="262"/>
        <v>1862.08713666287</v>
      </c>
      <c r="P245" s="86" t="str">
        <f t="shared" si="212"/>
        <v>15</v>
      </c>
      <c r="Q245" s="4" t="str">
        <f t="shared" si="213"/>
        <v>1+3,41245290684906i</v>
      </c>
      <c r="R245" s="4">
        <f t="shared" si="224"/>
        <v>3.55595765462169</v>
      </c>
      <c r="S245" s="4">
        <f t="shared" si="225"/>
        <v>1.28573302719335</v>
      </c>
      <c r="T245" s="4" t="str">
        <f t="shared" si="214"/>
        <v>1+0,00233996770755364i</v>
      </c>
      <c r="U245" s="4">
        <f t="shared" si="226"/>
        <v>1.00000273772069</v>
      </c>
      <c r="V245" s="4">
        <f t="shared" si="227"/>
        <v>0.00233996343677649</v>
      </c>
      <c r="W245" t="str">
        <f t="shared" si="215"/>
        <v>1-0,204747174410944i</v>
      </c>
      <c r="X245" s="4">
        <f t="shared" si="228"/>
        <v>1.02074551452811</v>
      </c>
      <c r="Y245" s="4">
        <f t="shared" si="229"/>
        <v>-0.20195595571782</v>
      </c>
      <c r="Z245" t="str">
        <f t="shared" si="216"/>
        <v>0,999975343157301+0,0108641357850704i</v>
      </c>
      <c r="AA245" s="4">
        <f t="shared" si="230"/>
        <v>1.00003435759424</v>
      </c>
      <c r="AB245" s="4">
        <f t="shared" si="231"/>
        <v>0.010863976236304</v>
      </c>
      <c r="AC245" s="67" t="str">
        <f t="shared" si="232"/>
        <v>0,320831859414687-4,29367714955794i</v>
      </c>
      <c r="AD245" s="68">
        <f t="shared" si="233"/>
        <v>12.6807685304927</v>
      </c>
      <c r="AE245" s="31">
        <f t="shared" si="234"/>
        <v>-85.7266899068485</v>
      </c>
      <c r="AF245" s="32" t="str">
        <f t="shared" si="235"/>
        <v>75,4669735059805</v>
      </c>
      <c r="AG245" s="32" t="str">
        <f t="shared" si="217"/>
        <v>1+2,19371972583154i</v>
      </c>
      <c r="AH245" s="32">
        <f t="shared" si="236"/>
        <v>2.41089324431888</v>
      </c>
      <c r="AI245" s="32">
        <f t="shared" si="237"/>
        <v>1.14309089442234</v>
      </c>
      <c r="AJ245" s="32" t="str">
        <f t="shared" si="218"/>
        <v>1+0,00233996770755364i</v>
      </c>
      <c r="AK245" s="32">
        <f t="shared" si="238"/>
        <v>1.00000273772069</v>
      </c>
      <c r="AL245" s="32">
        <f t="shared" si="239"/>
        <v>0.00233996343677649</v>
      </c>
      <c r="AM245" s="32" t="str">
        <f t="shared" si="219"/>
        <v>1-0,0261616342962214i</v>
      </c>
      <c r="AN245" s="32">
        <f t="shared" si="240"/>
        <v>1.00034215701881</v>
      </c>
      <c r="AO245" s="32">
        <f t="shared" si="241"/>
        <v>-0.0261556681339608</v>
      </c>
      <c r="AP245" s="30" t="str">
        <f t="shared" si="242"/>
        <v>12,306062734855-28,7938016500872i</v>
      </c>
      <c r="AQ245" s="32">
        <f t="shared" si="243"/>
        <v>29.9145742809555</v>
      </c>
      <c r="AR245" s="31">
        <f t="shared" si="244"/>
        <v>-66.8588232155128</v>
      </c>
      <c r="AS245" t="str">
        <f t="shared" si="220"/>
        <v>-0,000338461538461538</v>
      </c>
      <c r="AT245" t="str">
        <f t="shared" si="221"/>
        <v>0,00204810353539048i</v>
      </c>
      <c r="AU245">
        <f t="shared" si="245"/>
        <v>0.00204810353539048</v>
      </c>
      <c r="AV245">
        <f t="shared" si="246"/>
        <v>1.5707963267949</v>
      </c>
      <c r="AW245" t="str">
        <f t="shared" si="222"/>
        <v>1+0,33239962174545i</v>
      </c>
      <c r="AX245">
        <f t="shared" si="247"/>
        <v>1.05379766014948</v>
      </c>
      <c r="AY245">
        <f t="shared" si="248"/>
        <v>0.320909978708888</v>
      </c>
      <c r="AZ245" t="str">
        <f t="shared" si="223"/>
        <v>1+2,90155995736651i</v>
      </c>
      <c r="BA245">
        <f t="shared" si="249"/>
        <v>3.06904711371343</v>
      </c>
      <c r="BB245">
        <f t="shared" si="250"/>
        <v>1.23890255614468</v>
      </c>
      <c r="BC245" s="30" t="str">
        <f t="shared" si="251"/>
        <v>-0,382326292640325+0,292341183714181i</v>
      </c>
      <c r="BD245" s="32">
        <f t="shared" si="252"/>
        <v>-6.35192515092898</v>
      </c>
      <c r="BE245" s="31">
        <f t="shared" si="253"/>
        <v>142.597100311407</v>
      </c>
      <c r="BF245" s="30" t="str">
        <f t="shared" si="254"/>
        <v>1,13255620501738+1,73537803193948i</v>
      </c>
      <c r="BG245" s="68">
        <f t="shared" si="255"/>
        <v>6.32884337956377</v>
      </c>
      <c r="BH245" s="31">
        <f t="shared" si="256"/>
        <v>56.8704104045587</v>
      </c>
      <c r="BI245" s="30" t="str">
        <f t="shared" si="263"/>
        <v>3,71268271560146+14,6061963826672i</v>
      </c>
      <c r="BJ245" s="68">
        <f t="shared" si="257"/>
        <v>23.5626491300265</v>
      </c>
      <c r="BK245" s="31">
        <f t="shared" si="264"/>
        <v>75.7382770958943</v>
      </c>
      <c r="BL245" s="32">
        <f t="shared" si="258"/>
        <v>6.32884337956377</v>
      </c>
      <c r="BM245" s="31">
        <f t="shared" si="259"/>
        <v>56.8704104045587</v>
      </c>
      <c r="BO245">
        <f t="shared" si="260"/>
        <v>0</v>
      </c>
      <c r="BP245">
        <f t="shared" si="261"/>
        <v>0</v>
      </c>
    </row>
    <row r="246" spans="14:68">
      <c r="N246" s="7">
        <v>28</v>
      </c>
      <c r="O246" s="18">
        <f t="shared" si="262"/>
        <v>1905.46071796325</v>
      </c>
      <c r="P246" s="86" t="str">
        <f t="shared" si="212"/>
        <v>15</v>
      </c>
      <c r="Q246" s="4" t="str">
        <f t="shared" si="213"/>
        <v>1+3,49193914606676i</v>
      </c>
      <c r="R246" s="4">
        <f t="shared" si="224"/>
        <v>3.63230491559195</v>
      </c>
      <c r="S246" s="4">
        <f t="shared" si="225"/>
        <v>1.29188700338302</v>
      </c>
      <c r="T246" s="4" t="str">
        <f t="shared" si="214"/>
        <v>1+0,00239447255730292i</v>
      </c>
      <c r="U246" s="4">
        <f t="shared" si="226"/>
        <v>1.0000028667453</v>
      </c>
      <c r="V246" s="4">
        <f t="shared" si="227"/>
        <v>0.00239446798108346</v>
      </c>
      <c r="W246" t="str">
        <f t="shared" si="215"/>
        <v>1-0,209516348764006i</v>
      </c>
      <c r="X246" s="4">
        <f t="shared" si="228"/>
        <v>1.02171282677639</v>
      </c>
      <c r="Y246" s="4">
        <f t="shared" si="229"/>
        <v>-0.206528926090296</v>
      </c>
      <c r="Z246" t="str">
        <f t="shared" si="216"/>
        <v>0,999974181116105+0,0111171940160492i</v>
      </c>
      <c r="AA246" s="4">
        <f t="shared" si="230"/>
        <v>1.00003597680364</v>
      </c>
      <c r="AB246" s="4">
        <f t="shared" si="231"/>
        <v>0.0111170230567314</v>
      </c>
      <c r="AC246" s="67" t="str">
        <f t="shared" si="232"/>
        <v>0,268399674153394-4,2105892929113i</v>
      </c>
      <c r="AD246" s="68">
        <f t="shared" si="233"/>
        <v>12.5044685402041</v>
      </c>
      <c r="AE246" s="31">
        <f t="shared" si="234"/>
        <v>-86.3526743063987</v>
      </c>
      <c r="AF246" s="32" t="str">
        <f t="shared" si="235"/>
        <v>75,4669735059805</v>
      </c>
      <c r="AG246" s="32" t="str">
        <f t="shared" si="217"/>
        <v>1+2,24481802247149i</v>
      </c>
      <c r="AH246" s="32">
        <f t="shared" si="236"/>
        <v>2.45748000073506</v>
      </c>
      <c r="AI246" s="32">
        <f t="shared" si="237"/>
        <v>1.15171559119764</v>
      </c>
      <c r="AJ246" s="32" t="str">
        <f t="shared" si="218"/>
        <v>1+0,00239447255730292i</v>
      </c>
      <c r="AK246" s="32">
        <f t="shared" si="238"/>
        <v>1.0000028667453</v>
      </c>
      <c r="AL246" s="32">
        <f t="shared" si="239"/>
        <v>0.00239446798108346</v>
      </c>
      <c r="AM246" s="32" t="str">
        <f t="shared" si="219"/>
        <v>1-0,0267710170419354i</v>
      </c>
      <c r="AN246" s="32">
        <f t="shared" si="240"/>
        <v>1.00035827949463</v>
      </c>
      <c r="AO246" s="32">
        <f t="shared" si="241"/>
        <v>-0.0267646243075477</v>
      </c>
      <c r="AP246" s="30" t="str">
        <f t="shared" si="242"/>
        <v>11,8131699514166-28,3580408462479i</v>
      </c>
      <c r="AQ246" s="32">
        <f t="shared" si="243"/>
        <v>29.7484751471839</v>
      </c>
      <c r="AR246" s="31">
        <f t="shared" si="244"/>
        <v>-67.3847496786197</v>
      </c>
      <c r="AS246" t="str">
        <f t="shared" si="220"/>
        <v>-0,000338461538461538</v>
      </c>
      <c r="AT246" t="str">
        <f t="shared" si="221"/>
        <v>0,00209580999523052i</v>
      </c>
      <c r="AU246">
        <f t="shared" si="245"/>
        <v>0.00209580999523052</v>
      </c>
      <c r="AV246">
        <f t="shared" si="246"/>
        <v>1.5707963267949</v>
      </c>
      <c r="AW246" t="str">
        <f t="shared" si="222"/>
        <v>1+0,340142203568895i</v>
      </c>
      <c r="AX246">
        <f t="shared" si="247"/>
        <v>1.05626545841881</v>
      </c>
      <c r="AY246">
        <f t="shared" si="248"/>
        <v>0.327865969496047</v>
      </c>
      <c r="AZ246" t="str">
        <f t="shared" si="223"/>
        <v>1+2,96914597105562i</v>
      </c>
      <c r="BA246">
        <f t="shared" si="249"/>
        <v>3.13302215080516</v>
      </c>
      <c r="BB246">
        <f t="shared" si="250"/>
        <v>1.24593155361937</v>
      </c>
      <c r="BC246" s="30" t="str">
        <f t="shared" si="251"/>
        <v>-0,380541888954348+0,290932737939844i</v>
      </c>
      <c r="BD246" s="32">
        <f t="shared" si="252"/>
        <v>-6.39304391107629</v>
      </c>
      <c r="BE246" s="31">
        <f t="shared" si="253"/>
        <v>142.601283286479</v>
      </c>
      <c r="BF246" s="30" t="str">
        <f t="shared" si="254"/>
        <v>1,12286095232981+1,68039185519903i</v>
      </c>
      <c r="BG246" s="68">
        <f t="shared" si="255"/>
        <v>6.11142462912784</v>
      </c>
      <c r="BH246" s="31">
        <f t="shared" si="256"/>
        <v>56.2486089800802</v>
      </c>
      <c r="BI246" s="30" t="str">
        <f t="shared" si="263"/>
        <v>3,75487645815801+14,2282603083901i</v>
      </c>
      <c r="BJ246" s="68">
        <f t="shared" si="257"/>
        <v>23.3554312361077</v>
      </c>
      <c r="BK246" s="31">
        <f t="shared" si="264"/>
        <v>75.2165336078592</v>
      </c>
      <c r="BL246" s="32">
        <f t="shared" si="258"/>
        <v>6.11142462912784</v>
      </c>
      <c r="BM246" s="31">
        <f t="shared" si="259"/>
        <v>56.2486089800802</v>
      </c>
      <c r="BO246">
        <f t="shared" si="260"/>
        <v>0</v>
      </c>
      <c r="BP246">
        <f t="shared" si="261"/>
        <v>0</v>
      </c>
    </row>
    <row r="247" spans="14:68">
      <c r="N247" s="7">
        <v>29</v>
      </c>
      <c r="O247" s="18">
        <f t="shared" si="262"/>
        <v>1949.84459975805</v>
      </c>
      <c r="P247" s="86" t="str">
        <f t="shared" si="212"/>
        <v>15</v>
      </c>
      <c r="Q247" s="4" t="str">
        <f t="shared" si="213"/>
        <v>1+3,57327685764093i</v>
      </c>
      <c r="R247" s="4">
        <f t="shared" si="224"/>
        <v>3.71056700537158</v>
      </c>
      <c r="S247" s="4">
        <f t="shared" si="225"/>
        <v>1.29792193021028</v>
      </c>
      <c r="T247" s="4" t="str">
        <f t="shared" si="214"/>
        <v>1+0,00245024698809664i</v>
      </c>
      <c r="U247" s="4">
        <f t="shared" si="226"/>
        <v>1.00000300185065</v>
      </c>
      <c r="V247" s="4">
        <f t="shared" si="227"/>
        <v>0.00245024208458994</v>
      </c>
      <c r="W247" t="str">
        <f t="shared" si="215"/>
        <v>1-0,214396611458456i</v>
      </c>
      <c r="X247" s="4">
        <f t="shared" si="228"/>
        <v>1.02272474645179</v>
      </c>
      <c r="Y247" s="4">
        <f t="shared" si="229"/>
        <v>-0.211199359329772</v>
      </c>
      <c r="Z247" t="str">
        <f t="shared" si="216"/>
        <v>0,999972964309595+0,0113761467304487i</v>
      </c>
      <c r="AA247" s="4">
        <f t="shared" si="230"/>
        <v>1.00003767232267</v>
      </c>
      <c r="AB247" s="4">
        <f t="shared" si="231"/>
        <v>0.0113759635445371</v>
      </c>
      <c r="AC247" s="67" t="str">
        <f t="shared" si="232"/>
        <v>0,217976711831756-4,12848012036802i</v>
      </c>
      <c r="AD247" s="68">
        <f t="shared" si="233"/>
        <v>12.3278937641727</v>
      </c>
      <c r="AE247" s="31">
        <f t="shared" si="234"/>
        <v>-86.9776868327495</v>
      </c>
      <c r="AF247" s="32" t="str">
        <f t="shared" si="235"/>
        <v>75,4669735059805</v>
      </c>
      <c r="AG247" s="32" t="str">
        <f t="shared" si="217"/>
        <v>1+2,2971065513406i</v>
      </c>
      <c r="AH247" s="32">
        <f t="shared" si="236"/>
        <v>2.50533401130706</v>
      </c>
      <c r="AI247" s="32">
        <f t="shared" si="237"/>
        <v>1.16020849133811</v>
      </c>
      <c r="AJ247" s="32" t="str">
        <f t="shared" si="218"/>
        <v>1+0,00245024698809664i</v>
      </c>
      <c r="AK247" s="32">
        <f t="shared" si="238"/>
        <v>1.00000300185065</v>
      </c>
      <c r="AL247" s="32">
        <f t="shared" si="239"/>
        <v>0.00245024208458994</v>
      </c>
      <c r="AM247" s="32" t="str">
        <f t="shared" si="219"/>
        <v>1-0,027394594135241i</v>
      </c>
      <c r="AN247" s="32">
        <f t="shared" si="240"/>
        <v>1.00037516152083</v>
      </c>
      <c r="AO247" s="32">
        <f t="shared" si="241"/>
        <v>-0.0273877443356655</v>
      </c>
      <c r="AP247" s="30" t="str">
        <f t="shared" si="242"/>
        <v>11,3352258004401-27,9206958323936i</v>
      </c>
      <c r="AQ247" s="32">
        <f t="shared" si="243"/>
        <v>29.5811100612355</v>
      </c>
      <c r="AR247" s="31">
        <f t="shared" si="244"/>
        <v>-67.9038635394992</v>
      </c>
      <c r="AS247" t="str">
        <f t="shared" si="220"/>
        <v>-0,000338461538461538</v>
      </c>
      <c r="AT247" t="str">
        <f t="shared" si="221"/>
        <v>0,00214462768127135i</v>
      </c>
      <c r="AU247">
        <f t="shared" si="245"/>
        <v>0.00214462768127135</v>
      </c>
      <c r="AV247">
        <f t="shared" si="246"/>
        <v>1.5707963267949</v>
      </c>
      <c r="AW247" t="str">
        <f t="shared" si="222"/>
        <v>1+0,348065133290982i</v>
      </c>
      <c r="AX247">
        <f t="shared" si="247"/>
        <v>1.0588433958867</v>
      </c>
      <c r="AY247">
        <f t="shared" si="248"/>
        <v>0.334950068564939</v>
      </c>
      <c r="AZ247" t="str">
        <f t="shared" si="223"/>
        <v>1+3,03830626523983i</v>
      </c>
      <c r="BA247">
        <f t="shared" si="249"/>
        <v>3.19864111169034</v>
      </c>
      <c r="BB247">
        <f t="shared" si="250"/>
        <v>1.25283285985624</v>
      </c>
      <c r="BC247" s="30" t="str">
        <f t="shared" si="251"/>
        <v>-0,378691154512869+0,289627507534311i</v>
      </c>
      <c r="BD247" s="32">
        <f t="shared" si="252"/>
        <v>-6.43417600824172</v>
      </c>
      <c r="BE247" s="31">
        <f t="shared" si="253"/>
        <v>142.590810028679</v>
      </c>
      <c r="BF247" s="30" t="str">
        <f t="shared" si="254"/>
        <v>1,11317555450666+1,62655095491395i</v>
      </c>
      <c r="BG247" s="68">
        <f t="shared" si="255"/>
        <v>5.89371775593099</v>
      </c>
      <c r="BH247" s="31">
        <f t="shared" si="256"/>
        <v>55.6131231959289</v>
      </c>
      <c r="BI247" s="30" t="str">
        <f t="shared" si="263"/>
        <v>3,79405179752706+13,8563137354919i</v>
      </c>
      <c r="BJ247" s="68">
        <f t="shared" si="257"/>
        <v>23.1469340529938</v>
      </c>
      <c r="BK247" s="31">
        <f t="shared" si="264"/>
        <v>74.6869464891795</v>
      </c>
      <c r="BL247" s="32">
        <f t="shared" si="258"/>
        <v>5.89371775593099</v>
      </c>
      <c r="BM247" s="31">
        <f t="shared" si="259"/>
        <v>55.6131231959289</v>
      </c>
      <c r="BO247">
        <f t="shared" si="260"/>
        <v>0</v>
      </c>
      <c r="BP247">
        <f t="shared" si="261"/>
        <v>0</v>
      </c>
    </row>
    <row r="248" spans="14:68">
      <c r="N248" s="7">
        <v>30</v>
      </c>
      <c r="O248" s="18">
        <f t="shared" si="262"/>
        <v>1995.26231496888</v>
      </c>
      <c r="P248" s="86" t="str">
        <f t="shared" si="212"/>
        <v>15</v>
      </c>
      <c r="Q248" s="4" t="str">
        <f t="shared" si="213"/>
        <v>1+3,65650916790296i</v>
      </c>
      <c r="R248" s="4">
        <f t="shared" si="224"/>
        <v>3.79078610514474</v>
      </c>
      <c r="S248" s="4">
        <f t="shared" si="225"/>
        <v>1.30383924843068</v>
      </c>
      <c r="T248" s="4" t="str">
        <f t="shared" si="214"/>
        <v>1+0,00250732057227632i</v>
      </c>
      <c r="U248" s="4">
        <f t="shared" si="226"/>
        <v>1.00000314332329</v>
      </c>
      <c r="V248" s="4">
        <f t="shared" si="227"/>
        <v>0.00250731531807512</v>
      </c>
      <c r="W248" t="str">
        <f t="shared" si="215"/>
        <v>1-0,219390550074178i</v>
      </c>
      <c r="X248" s="4">
        <f t="shared" si="228"/>
        <v>1.02378328442198</v>
      </c>
      <c r="Y248" s="4">
        <f t="shared" si="229"/>
        <v>-0.215968916375224</v>
      </c>
      <c r="Z248" t="str">
        <f t="shared" si="216"/>
        <v>0,999971690156761+0,0116411312284257i</v>
      </c>
      <c r="AA248" s="4">
        <f t="shared" si="230"/>
        <v>1.00003944774756</v>
      </c>
      <c r="AB248" s="4">
        <f t="shared" si="231"/>
        <v>0.0116409349415191</v>
      </c>
      <c r="AC248" s="67" t="str">
        <f t="shared" si="232"/>
        <v>0,169500130756889-4,04737772035369i</v>
      </c>
      <c r="AD248" s="68">
        <f t="shared" si="233"/>
        <v>12.1510849386448</v>
      </c>
      <c r="AE248" s="31">
        <f t="shared" si="234"/>
        <v>-87.6019113690027</v>
      </c>
      <c r="AF248" s="32" t="str">
        <f t="shared" si="235"/>
        <v>75,4669735059805</v>
      </c>
      <c r="AG248" s="32" t="str">
        <f t="shared" si="217"/>
        <v>1+2,35061303650905i</v>
      </c>
      <c r="AH248" s="32">
        <f t="shared" si="236"/>
        <v>2.55448265748787</v>
      </c>
      <c r="AI248" s="32">
        <f t="shared" si="237"/>
        <v>1.1685691961456</v>
      </c>
      <c r="AJ248" s="32" t="str">
        <f t="shared" si="218"/>
        <v>1+0,00250732057227632i</v>
      </c>
      <c r="AK248" s="32">
        <f t="shared" si="238"/>
        <v>1.00000314332329</v>
      </c>
      <c r="AL248" s="32">
        <f t="shared" si="239"/>
        <v>0.00250731531807512</v>
      </c>
      <c r="AM248" s="32" t="str">
        <f t="shared" si="219"/>
        <v>1-0,0280326962049676i</v>
      </c>
      <c r="AN248" s="32">
        <f t="shared" si="240"/>
        <v>1.00039283886707</v>
      </c>
      <c r="AO248" s="32">
        <f t="shared" si="241"/>
        <v>-0.0280253566681401</v>
      </c>
      <c r="AP248" s="30" t="str">
        <f t="shared" si="242"/>
        <v>10,8720442860638-27,4822918789279i</v>
      </c>
      <c r="AQ248" s="32">
        <f t="shared" si="243"/>
        <v>29.4125182876504</v>
      </c>
      <c r="AR248" s="31">
        <f t="shared" si="244"/>
        <v>-68.4161590789375</v>
      </c>
      <c r="AS248" t="str">
        <f t="shared" si="220"/>
        <v>-0,000338461538461538</v>
      </c>
      <c r="AT248" t="str">
        <f t="shared" si="221"/>
        <v>0,00219458247729629i</v>
      </c>
      <c r="AU248">
        <f t="shared" si="245"/>
        <v>0.00219458247729629</v>
      </c>
      <c r="AV248">
        <f t="shared" si="246"/>
        <v>1.5707963267949</v>
      </c>
      <c r="AW248" t="str">
        <f t="shared" si="222"/>
        <v>1+0,356172611753929i</v>
      </c>
      <c r="AX248">
        <f t="shared" si="247"/>
        <v>1.06153611778574</v>
      </c>
      <c r="AY248">
        <f t="shared" si="248"/>
        <v>0.342163186985371</v>
      </c>
      <c r="AZ248" t="str">
        <f t="shared" si="223"/>
        <v>1+3,10907750962264i</v>
      </c>
      <c r="BA248">
        <f t="shared" si="249"/>
        <v>3.26593982811094</v>
      </c>
      <c r="BB248">
        <f t="shared" si="250"/>
        <v>1.2596075035703</v>
      </c>
      <c r="BC248" s="30" t="str">
        <f t="shared" si="251"/>
        <v>-0,376772394264575+0,288421944509127i</v>
      </c>
      <c r="BD248" s="32">
        <f t="shared" si="252"/>
        <v>-6.47538358559154</v>
      </c>
      <c r="BE248" s="31">
        <f t="shared" si="253"/>
        <v>142.56568727858</v>
      </c>
      <c r="BF248" s="30" t="str">
        <f t="shared" si="254"/>
        <v>1,1034895821739+1,57382775149821i</v>
      </c>
      <c r="BG248" s="68">
        <f t="shared" si="255"/>
        <v>5.67570135305331</v>
      </c>
      <c r="BH248" s="31">
        <f t="shared" si="256"/>
        <v>54.9637759095776</v>
      </c>
      <c r="BI248" s="30" t="str">
        <f t="shared" si="263"/>
        <v>3,83020990707702+13,4903050648774i</v>
      </c>
      <c r="BJ248" s="68">
        <f t="shared" si="257"/>
        <v>22.9371347020589</v>
      </c>
      <c r="BK248" s="31">
        <f t="shared" si="264"/>
        <v>74.1495281996429</v>
      </c>
      <c r="BL248" s="32">
        <f t="shared" si="258"/>
        <v>5.67570135305331</v>
      </c>
      <c r="BM248" s="31">
        <f t="shared" si="259"/>
        <v>54.9637759095776</v>
      </c>
      <c r="BO248">
        <f t="shared" si="260"/>
        <v>0</v>
      </c>
      <c r="BP248">
        <f t="shared" si="261"/>
        <v>0</v>
      </c>
    </row>
    <row r="249" spans="14:68">
      <c r="N249" s="7">
        <v>31</v>
      </c>
      <c r="O249" s="18">
        <f t="shared" si="262"/>
        <v>2041.73794466953</v>
      </c>
      <c r="P249" s="86" t="str">
        <f t="shared" si="212"/>
        <v>15</v>
      </c>
      <c r="Q249" s="4" t="str">
        <f t="shared" si="213"/>
        <v>1+3,74168020772542i</v>
      </c>
      <c r="R249" s="4">
        <f t="shared" si="224"/>
        <v>3.8730053933456</v>
      </c>
      <c r="S249" s="4">
        <f t="shared" si="225"/>
        <v>1.30964043727998</v>
      </c>
      <c r="T249" s="4" t="str">
        <f t="shared" si="214"/>
        <v>1+0,00256572357101172i</v>
      </c>
      <c r="U249" s="4">
        <f t="shared" si="226"/>
        <v>1.0000032914633</v>
      </c>
      <c r="V249" s="4">
        <f t="shared" si="227"/>
        <v>0.0025657179410347</v>
      </c>
      <c r="W249" t="str">
        <f t="shared" si="215"/>
        <v>1-0,224500812463526i</v>
      </c>
      <c r="X249" s="4">
        <f t="shared" si="228"/>
        <v>1.02489053795846</v>
      </c>
      <c r="Y249" s="4">
        <f t="shared" si="229"/>
        <v>-0.220839257700264</v>
      </c>
      <c r="Z249" t="str">
        <f t="shared" si="216"/>
        <v>0,999970355954953+0,0119122880082687i</v>
      </c>
      <c r="AA249" s="4">
        <f t="shared" si="230"/>
        <v>1.00004130684401</v>
      </c>
      <c r="AB249" s="4">
        <f t="shared" si="231"/>
        <v>0.011912077683434</v>
      </c>
      <c r="AC249" s="67" t="str">
        <f t="shared" si="232"/>
        <v>0,122907878855799-3,96730710150781i</v>
      </c>
      <c r="AD249" s="68">
        <f t="shared" si="233"/>
        <v>11.974082628557</v>
      </c>
      <c r="AE249" s="31">
        <f t="shared" si="234"/>
        <v>-88.2255341198878</v>
      </c>
      <c r="AF249" s="32" t="str">
        <f t="shared" si="235"/>
        <v>75,4669735059805</v>
      </c>
      <c r="AG249" s="32" t="str">
        <f t="shared" si="217"/>
        <v>1+2,40536584782349i</v>
      </c>
      <c r="AH249" s="32">
        <f t="shared" si="236"/>
        <v>2.60495390782171</v>
      </c>
      <c r="AI249" s="32">
        <f t="shared" si="237"/>
        <v>1.17679746212664</v>
      </c>
      <c r="AJ249" s="32" t="str">
        <f t="shared" si="218"/>
        <v>1+0,00256572357101172i</v>
      </c>
      <c r="AK249" s="32">
        <f t="shared" si="238"/>
        <v>1.0000032914633</v>
      </c>
      <c r="AL249" s="32">
        <f t="shared" si="239"/>
        <v>0.0025657179410347</v>
      </c>
      <c r="AM249" s="32" t="str">
        <f t="shared" si="219"/>
        <v>1-0,0286856615812786i</v>
      </c>
      <c r="AN249" s="32">
        <f t="shared" si="240"/>
        <v>1.00041134898618</v>
      </c>
      <c r="AO249" s="32">
        <f t="shared" si="241"/>
        <v>-0.0286777973005147</v>
      </c>
      <c r="AP249" s="30" t="str">
        <f t="shared" si="242"/>
        <v>10,4234203925053-27,0433320994379i</v>
      </c>
      <c r="AQ249" s="32">
        <f t="shared" si="243"/>
        <v>29.2427385926994</v>
      </c>
      <c r="AR249" s="31">
        <f t="shared" si="244"/>
        <v>-68.9216398631718</v>
      </c>
      <c r="AS249" t="str">
        <f t="shared" si="220"/>
        <v>-0,000338461538461538</v>
      </c>
      <c r="AT249" t="str">
        <f t="shared" si="221"/>
        <v>0,00224570086999944i</v>
      </c>
      <c r="AU249">
        <f t="shared" si="245"/>
        <v>0.00224570086999944</v>
      </c>
      <c r="AV249">
        <f t="shared" si="246"/>
        <v>1.5707963267949</v>
      </c>
      <c r="AW249" t="str">
        <f t="shared" si="222"/>
        <v>1+0,364468937650128i</v>
      </c>
      <c r="AX249">
        <f t="shared" si="247"/>
        <v>1.06434844224615</v>
      </c>
      <c r="AY249">
        <f t="shared" si="248"/>
        <v>0.34950614596973</v>
      </c>
      <c r="AZ249" t="str">
        <f t="shared" si="223"/>
        <v>1+3,18149722805453i</v>
      </c>
      <c r="BA249">
        <f t="shared" si="249"/>
        <v>3.33495496403155</v>
      </c>
      <c r="BB249">
        <f t="shared" si="250"/>
        <v>1.26625658848808</v>
      </c>
      <c r="BC249" s="30" t="str">
        <f t="shared" si="251"/>
        <v>-0,374783935821179+0,287312428821787i</v>
      </c>
      <c r="BD249" s="32">
        <f t="shared" si="252"/>
        <v>-6.5167287690158</v>
      </c>
      <c r="BE249" s="31">
        <f t="shared" si="253"/>
        <v>142.525931223052</v>
      </c>
      <c r="BF249" s="30" t="str">
        <f t="shared" si="254"/>
        <v>1,09379274063512+1,5221959313098i</v>
      </c>
      <c r="BG249" s="68">
        <f t="shared" si="255"/>
        <v>5.45735385954117</v>
      </c>
      <c r="BH249" s="31">
        <f t="shared" si="256"/>
        <v>54.3003971031641</v>
      </c>
      <c r="BI249" s="30" t="str">
        <f t="shared" si="263"/>
        <v>3,86335490950182+13,1301846715478i</v>
      </c>
      <c r="BJ249" s="68">
        <f t="shared" si="257"/>
        <v>22.7260098236836</v>
      </c>
      <c r="BK249" s="31">
        <f t="shared" si="264"/>
        <v>73.60429135988</v>
      </c>
      <c r="BL249" s="32">
        <f t="shared" si="258"/>
        <v>5.45735385954117</v>
      </c>
      <c r="BM249" s="31">
        <f t="shared" si="259"/>
        <v>54.3003971031641</v>
      </c>
      <c r="BO249">
        <f t="shared" si="260"/>
        <v>0</v>
      </c>
      <c r="BP249">
        <f t="shared" si="261"/>
        <v>0</v>
      </c>
    </row>
    <row r="250" spans="14:68">
      <c r="N250" s="7">
        <v>32</v>
      </c>
      <c r="O250" s="18">
        <f t="shared" si="262"/>
        <v>2089.29613085404</v>
      </c>
      <c r="P250" s="86" t="str">
        <f t="shared" si="212"/>
        <v>15</v>
      </c>
      <c r="Q250" s="4" t="str">
        <f t="shared" si="213"/>
        <v>1+3,82883513592104i</v>
      </c>
      <c r="R250" s="4">
        <f t="shared" si="224"/>
        <v>3.95726907071828</v>
      </c>
      <c r="S250" s="4">
        <f t="shared" si="225"/>
        <v>1.31532701013497</v>
      </c>
      <c r="T250" s="4" t="str">
        <f t="shared" si="214"/>
        <v>1+0,00262548695034586i</v>
      </c>
      <c r="U250" s="4">
        <f t="shared" si="226"/>
        <v>1.00000344658492</v>
      </c>
      <c r="V250" s="4">
        <f t="shared" si="227"/>
        <v>0.00262548091771792</v>
      </c>
      <c r="W250" t="str">
        <f t="shared" si="215"/>
        <v>1-0,229730108155263i</v>
      </c>
      <c r="X250" s="4">
        <f t="shared" si="228"/>
        <v>1.02604869406526</v>
      </c>
      <c r="Y250" s="4">
        <f t="shared" si="229"/>
        <v>-0.225812040998351</v>
      </c>
      <c r="Z250" t="str">
        <f t="shared" si="216"/>
        <v>0,999968958874152+0,0121897608408915i</v>
      </c>
      <c r="AA250" s="4">
        <f t="shared" si="230"/>
        <v>1.00004325355517</v>
      </c>
      <c r="AB250" s="4">
        <f t="shared" si="231"/>
        <v>0.0121895354741914</v>
      </c>
      <c r="AC250" s="67" t="str">
        <f t="shared" si="232"/>
        <v>0,0781387936555379-3,88829033977204i</v>
      </c>
      <c r="AD250" s="68">
        <f t="shared" si="233"/>
        <v>11.7969272550416</v>
      </c>
      <c r="AE250" s="31">
        <f t="shared" si="234"/>
        <v>-88.8487432338547</v>
      </c>
      <c r="AF250" s="32" t="str">
        <f t="shared" si="235"/>
        <v>75,4669735059805</v>
      </c>
      <c r="AG250" s="32" t="str">
        <f t="shared" si="217"/>
        <v>1+2,46139401594925i</v>
      </c>
      <c r="AH250" s="32">
        <f t="shared" si="236"/>
        <v>2.65677633641802</v>
      </c>
      <c r="AI250" s="32">
        <f t="shared" si="237"/>
        <v>1.18489319424997</v>
      </c>
      <c r="AJ250" s="32" t="str">
        <f t="shared" si="218"/>
        <v>1+0,00262548695034586i</v>
      </c>
      <c r="AK250" s="32">
        <f t="shared" si="238"/>
        <v>1.00000344658492</v>
      </c>
      <c r="AL250" s="32">
        <f t="shared" si="239"/>
        <v>0.00262548091771792</v>
      </c>
      <c r="AM250" s="32" t="str">
        <f t="shared" si="219"/>
        <v>1-0,0293538364750598i</v>
      </c>
      <c r="AN250" s="32">
        <f t="shared" si="240"/>
        <v>1.00043073109326</v>
      </c>
      <c r="AO250" s="32">
        <f t="shared" si="241"/>
        <v>-0.0293454099423363</v>
      </c>
      <c r="AP250" s="30" t="str">
        <f t="shared" si="242"/>
        <v>9,98913189325677-26,6042971120302i</v>
      </c>
      <c r="AQ250" s="32">
        <f t="shared" si="243"/>
        <v>29.0718091975868</v>
      </c>
      <c r="AR250" s="31">
        <f t="shared" si="244"/>
        <v>-69.4203183662981</v>
      </c>
      <c r="AS250" t="str">
        <f t="shared" si="220"/>
        <v>-0,000338461538461538</v>
      </c>
      <c r="AT250" t="str">
        <f t="shared" si="221"/>
        <v>0,00229800996302921i</v>
      </c>
      <c r="AU250">
        <f t="shared" si="245"/>
        <v>0.00229800996302921</v>
      </c>
      <c r="AV250">
        <f t="shared" si="246"/>
        <v>1.5707963267949</v>
      </c>
      <c r="AW250" t="str">
        <f t="shared" si="222"/>
        <v>1+0,372958509801389i</v>
      </c>
      <c r="AX250">
        <f t="shared" si="247"/>
        <v>1.06728536485481</v>
      </c>
      <c r="AY250">
        <f t="shared" si="248"/>
        <v>0.356979670484064</v>
      </c>
      <c r="AZ250" t="str">
        <f t="shared" si="223"/>
        <v>1+3,25560381842887i</v>
      </c>
      <c r="BA250">
        <f t="shared" si="249"/>
        <v>3.40572403793505</v>
      </c>
      <c r="BB250">
        <f t="shared" si="250"/>
        <v>1.27278128754566</v>
      </c>
      <c r="BC250" s="30" t="str">
        <f t="shared" si="251"/>
        <v>-0,372724136260567+0,286295264649773i</v>
      </c>
      <c r="BD250" s="32">
        <f t="shared" si="252"/>
        <v>-6.5582736523844</v>
      </c>
      <c r="BE250" s="31">
        <f t="shared" si="253"/>
        <v>142.471567528886</v>
      </c>
      <c r="BF250" s="30" t="str">
        <f t="shared" si="254"/>
        <v>1,08407489748649+1,47163042503087i</v>
      </c>
      <c r="BG250" s="68">
        <f t="shared" si="255"/>
        <v>5.23865360265725</v>
      </c>
      <c r="BH250" s="31">
        <f t="shared" si="256"/>
        <v>53.6228242950308</v>
      </c>
      <c r="BI250" s="30" t="str">
        <f t="shared" si="263"/>
        <v>3,89349372560287+12,7759048209024i</v>
      </c>
      <c r="BJ250" s="68">
        <f t="shared" si="257"/>
        <v>22.5135355452024</v>
      </c>
      <c r="BK250" s="31">
        <f t="shared" si="264"/>
        <v>73.0512491625874</v>
      </c>
      <c r="BL250" s="32">
        <f t="shared" si="258"/>
        <v>5.23865360265725</v>
      </c>
      <c r="BM250" s="31">
        <f t="shared" si="259"/>
        <v>53.6228242950308</v>
      </c>
      <c r="BO250">
        <f t="shared" si="260"/>
        <v>0</v>
      </c>
      <c r="BP250">
        <f t="shared" si="261"/>
        <v>0</v>
      </c>
    </row>
    <row r="251" spans="14:68">
      <c r="N251" s="7">
        <v>33</v>
      </c>
      <c r="O251" s="18">
        <f t="shared" si="262"/>
        <v>2137.96208950223</v>
      </c>
      <c r="P251" s="86" t="str">
        <f t="shared" si="212"/>
        <v>15</v>
      </c>
      <c r="Q251" s="4" t="str">
        <f t="shared" si="213"/>
        <v>1+3,91802016318632i</v>
      </c>
      <c r="R251" s="4">
        <f t="shared" si="224"/>
        <v>4.0436223858237</v>
      </c>
      <c r="S251" s="4">
        <f t="shared" si="225"/>
        <v>1.32090051038606</v>
      </c>
      <c r="T251" s="4" t="str">
        <f t="shared" si="214"/>
        <v>1+0,00268664239761348i</v>
      </c>
      <c r="U251" s="4">
        <f t="shared" si="226"/>
        <v>1.00000360901717</v>
      </c>
      <c r="V251" s="4">
        <f t="shared" si="227"/>
        <v>0.00268663593353744</v>
      </c>
      <c r="W251" t="str">
        <f t="shared" si="215"/>
        <v>1-0,23508120979118i</v>
      </c>
      <c r="X251" s="4">
        <f t="shared" si="228"/>
        <v>1.02726003290155</v>
      </c>
      <c r="Y251" s="4">
        <f t="shared" si="229"/>
        <v>-0.230888918702864</v>
      </c>
      <c r="Z251" t="str">
        <f t="shared" si="216"/>
        <v>0,999967495950961+0,0124736968460625i</v>
      </c>
      <c r="AA251" s="4">
        <f t="shared" si="230"/>
        <v>1.00004529201004</v>
      </c>
      <c r="AB251" s="4">
        <f t="shared" si="231"/>
        <v>0.0124734553617647</v>
      </c>
      <c r="AC251" s="67" t="str">
        <f t="shared" si="232"/>
        <v>0,0351326906087774-3,81034672410787i</v>
      </c>
      <c r="AD251" s="68">
        <f t="shared" si="233"/>
        <v>11.6196591239575</v>
      </c>
      <c r="AE251" s="31">
        <f t="shared" si="234"/>
        <v>-89.4717284279049</v>
      </c>
      <c r="AF251" s="32" t="str">
        <f t="shared" si="235"/>
        <v>75,4669735059805</v>
      </c>
      <c r="AG251" s="32" t="str">
        <f t="shared" si="217"/>
        <v>1+2,51872724776264i</v>
      </c>
      <c r="AH251" s="32">
        <f t="shared" si="236"/>
        <v>2.7099791417319</v>
      </c>
      <c r="AI251" s="32">
        <f t="shared" si="237"/>
        <v>1.19285643912193</v>
      </c>
      <c r="AJ251" s="32" t="str">
        <f t="shared" si="218"/>
        <v>1+0,00268664239761348i</v>
      </c>
      <c r="AK251" s="32">
        <f t="shared" si="238"/>
        <v>1.00000360901717</v>
      </c>
      <c r="AL251" s="32">
        <f t="shared" si="239"/>
        <v>0.00268663593353744</v>
      </c>
      <c r="AM251" s="32" t="str">
        <f t="shared" si="219"/>
        <v>1-0,0300375751614838i</v>
      </c>
      <c r="AN251" s="32">
        <f t="shared" si="240"/>
        <v>1.00045102624845</v>
      </c>
      <c r="AO251" s="32">
        <f t="shared" si="241"/>
        <v>-0.0300285461888266</v>
      </c>
      <c r="AP251" s="30" t="str">
        <f t="shared" si="242"/>
        <v>9,56894111319377-26,1656448322922i</v>
      </c>
      <c r="AQ251" s="32">
        <f t="shared" si="243"/>
        <v>28.8997677363707</v>
      </c>
      <c r="AR251" s="31">
        <f t="shared" si="244"/>
        <v>-69.9122155881441</v>
      </c>
      <c r="AS251" t="str">
        <f t="shared" si="220"/>
        <v>-0,000338461538461538</v>
      </c>
      <c r="AT251" t="str">
        <f t="shared" si="221"/>
        <v>0,00235153749135915i</v>
      </c>
      <c r="AU251">
        <f t="shared" si="245"/>
        <v>0.00235153749135915</v>
      </c>
      <c r="AV251">
        <f t="shared" si="246"/>
        <v>1.5707963267949</v>
      </c>
      <c r="AW251" t="str">
        <f t="shared" si="222"/>
        <v>1+0,381645829491234i</v>
      </c>
      <c r="AX251">
        <f t="shared" si="247"/>
        <v>1.07035206318671</v>
      </c>
      <c r="AY251">
        <f t="shared" si="248"/>
        <v>0.36458438272055</v>
      </c>
      <c r="AZ251" t="str">
        <f t="shared" si="223"/>
        <v>1+3,33143657304071i</v>
      </c>
      <c r="BA251">
        <f t="shared" si="249"/>
        <v>3.47828544547356</v>
      </c>
      <c r="BB251">
        <f t="shared" si="250"/>
        <v>1.27918283728142</v>
      </c>
      <c r="BC251" s="30" t="str">
        <f t="shared" si="251"/>
        <v>-0,370591389368078+0,28536667701739i</v>
      </c>
      <c r="BD251" s="32">
        <f t="shared" si="252"/>
        <v>-6.60008028190099</v>
      </c>
      <c r="BE251" s="31">
        <f t="shared" si="253"/>
        <v>142.402631395525</v>
      </c>
      <c r="BF251" s="30" t="str">
        <f t="shared" si="254"/>
        <v>1,07432611031781+1,42210738563495i</v>
      </c>
      <c r="BG251" s="68">
        <f t="shared" si="255"/>
        <v>5.01957884205648</v>
      </c>
      <c r="BH251" s="31">
        <f t="shared" si="256"/>
        <v>52.9309029676207</v>
      </c>
      <c r="BI251" s="30" t="str">
        <f t="shared" si="263"/>
        <v>3,92063593588867+12,427419600158i</v>
      </c>
      <c r="BJ251" s="68">
        <f t="shared" si="257"/>
        <v>22.2996874544697</v>
      </c>
      <c r="BK251" s="31">
        <f t="shared" si="264"/>
        <v>72.4904158073814</v>
      </c>
      <c r="BL251" s="32">
        <f t="shared" si="258"/>
        <v>5.01957884205648</v>
      </c>
      <c r="BM251" s="31">
        <f t="shared" si="259"/>
        <v>52.9309029676207</v>
      </c>
      <c r="BO251">
        <f t="shared" si="260"/>
        <v>0</v>
      </c>
      <c r="BP251">
        <f t="shared" si="261"/>
        <v>0</v>
      </c>
    </row>
    <row r="252" spans="14:68">
      <c r="N252" s="7">
        <v>34</v>
      </c>
      <c r="O252" s="18">
        <f t="shared" si="262"/>
        <v>2187.76162394955</v>
      </c>
      <c r="P252" s="86" t="str">
        <f t="shared" si="212"/>
        <v>15</v>
      </c>
      <c r="Q252" s="4" t="str">
        <f t="shared" si="213"/>
        <v>1+4,00928257660327i</v>
      </c>
      <c r="R252" s="4">
        <f t="shared" si="224"/>
        <v>4.13211166100997</v>
      </c>
      <c r="S252" s="4">
        <f t="shared" si="225"/>
        <v>1.32636250751895</v>
      </c>
      <c r="T252" s="4" t="str">
        <f t="shared" si="214"/>
        <v>1+0,00274922233824224i</v>
      </c>
      <c r="U252" s="4">
        <f t="shared" si="226"/>
        <v>1.00000377910459</v>
      </c>
      <c r="V252" s="4">
        <f t="shared" si="227"/>
        <v>0.00274921541186139</v>
      </c>
      <c r="W252" t="str">
        <f t="shared" si="215"/>
        <v>1-0,240556954596196i</v>
      </c>
      <c r="X252" s="4">
        <f t="shared" si="228"/>
        <v>1.02852693129767</v>
      </c>
      <c r="Y252" s="4">
        <f t="shared" si="229"/>
        <v>-0.236071535335689</v>
      </c>
      <c r="Z252" t="str">
        <f t="shared" si="216"/>
        <v>0,999965964082324+0,0127642465704104i</v>
      </c>
      <c r="AA252" s="4">
        <f t="shared" si="230"/>
        <v>1.00004742653216</v>
      </c>
      <c r="AB252" s="4">
        <f t="shared" si="231"/>
        <v>0.012763987815853</v>
      </c>
      <c r="AC252" s="67" t="str">
        <f t="shared" si="232"/>
        <v>-0,0061695595628578-3,73349290023877i</v>
      </c>
      <c r="AD252" s="68">
        <f t="shared" si="233"/>
        <v>11.4423184552254</v>
      </c>
      <c r="AE252" s="31">
        <f t="shared" si="234"/>
        <v>-90.0946806146661</v>
      </c>
      <c r="AF252" s="32" t="str">
        <f t="shared" si="235"/>
        <v>75,4669735059805</v>
      </c>
      <c r="AG252" s="32" t="str">
        <f t="shared" si="217"/>
        <v>1+2,5773959421021i</v>
      </c>
      <c r="AH252" s="32">
        <f t="shared" si="236"/>
        <v>2.76459216564837</v>
      </c>
      <c r="AI252" s="32">
        <f t="shared" si="237"/>
        <v>1.20068737811799</v>
      </c>
      <c r="AJ252" s="32" t="str">
        <f t="shared" si="218"/>
        <v>1+0,00274922233824224i</v>
      </c>
      <c r="AK252" s="32">
        <f t="shared" si="238"/>
        <v>1.00000377910459</v>
      </c>
      <c r="AL252" s="32">
        <f t="shared" si="239"/>
        <v>0.00274921541186139</v>
      </c>
      <c r="AM252" s="32" t="str">
        <f t="shared" si="219"/>
        <v>1-0,0307372401678528i</v>
      </c>
      <c r="AN252" s="32">
        <f t="shared" si="240"/>
        <v>1.00047227744358</v>
      </c>
      <c r="AO252" s="32">
        <f t="shared" si="241"/>
        <v>-0.0307275656959854</v>
      </c>
      <c r="AP252" s="30" t="str">
        <f t="shared" si="242"/>
        <v>9,16259663583255-25,7278103883453i</v>
      </c>
      <c r="AQ252" s="32">
        <f t="shared" si="243"/>
        <v>28.726651218465</v>
      </c>
      <c r="AR252" s="31">
        <f t="shared" si="244"/>
        <v>-70.3973606698081</v>
      </c>
      <c r="AS252" t="str">
        <f t="shared" si="220"/>
        <v>-0,000338461538461538</v>
      </c>
      <c r="AT252" t="str">
        <f t="shared" si="221"/>
        <v>0,00240631183599328i</v>
      </c>
      <c r="AU252">
        <f t="shared" si="245"/>
        <v>0.00240631183599328</v>
      </c>
      <c r="AV252">
        <f t="shared" si="246"/>
        <v>1.5707963267949</v>
      </c>
      <c r="AW252" t="str">
        <f t="shared" si="222"/>
        <v>1+0,390535502851555i</v>
      </c>
      <c r="AX252">
        <f t="shared" si="247"/>
        <v>1.07355390129584</v>
      </c>
      <c r="AY252">
        <f t="shared" si="248"/>
        <v>0.372320795450617</v>
      </c>
      <c r="AZ252" t="str">
        <f t="shared" si="223"/>
        <v>1+3,40903569942038i</v>
      </c>
      <c r="BA252">
        <f t="shared" si="249"/>
        <v>3.5526784824865</v>
      </c>
      <c r="BB252">
        <f t="shared" si="250"/>
        <v>1.28546253243057</v>
      </c>
      <c r="BC252" s="30" t="str">
        <f t="shared" si="251"/>
        <v>-0,368384133311073+0,284522808823098i</v>
      </c>
      <c r="BD252" s="32">
        <f t="shared" si="252"/>
        <v>-6.64221063915053</v>
      </c>
      <c r="BE252" s="31">
        <f t="shared" si="253"/>
        <v>142.319167626196</v>
      </c>
      <c r="BF252" s="30" t="str">
        <f t="shared" si="254"/>
        <v>1,0645366545495+1,37360416586148i</v>
      </c>
      <c r="BG252" s="68">
        <f t="shared" si="255"/>
        <v>4.80010781607484</v>
      </c>
      <c r="BH252" s="31">
        <f t="shared" si="256"/>
        <v>52.2244870115305</v>
      </c>
      <c r="BI252" s="30" t="str">
        <f t="shared" si="263"/>
        <v>3,94479365598996+12,0846848628423i</v>
      </c>
      <c r="BJ252" s="68">
        <f t="shared" si="257"/>
        <v>22.0844405793144</v>
      </c>
      <c r="BK252" s="31">
        <f t="shared" si="264"/>
        <v>71.9218069563883</v>
      </c>
      <c r="BL252" s="32">
        <f t="shared" si="258"/>
        <v>4.80010781607484</v>
      </c>
      <c r="BM252" s="31">
        <f t="shared" si="259"/>
        <v>52.2244870115305</v>
      </c>
      <c r="BO252">
        <f t="shared" si="260"/>
        <v>0</v>
      </c>
      <c r="BP252">
        <f t="shared" si="261"/>
        <v>0</v>
      </c>
    </row>
    <row r="253" spans="14:68">
      <c r="N253" s="7">
        <v>35</v>
      </c>
      <c r="O253" s="18">
        <f t="shared" si="262"/>
        <v>2238.72113856834</v>
      </c>
      <c r="P253" s="86" t="str">
        <f t="shared" si="212"/>
        <v>15</v>
      </c>
      <c r="Q253" s="4" t="str">
        <f t="shared" si="213"/>
        <v>1+4,10267076471146i</v>
      </c>
      <c r="R253" s="4">
        <f t="shared" si="224"/>
        <v>4.22278431886097</v>
      </c>
      <c r="S253" s="4">
        <f t="shared" si="225"/>
        <v>1.33171459340239</v>
      </c>
      <c r="T253" s="4" t="str">
        <f t="shared" si="214"/>
        <v>1+0,002813259952945i</v>
      </c>
      <c r="U253" s="4">
        <f t="shared" si="226"/>
        <v>1.00000395720795</v>
      </c>
      <c r="V253" s="4">
        <f t="shared" si="227"/>
        <v>0.00281325253119579</v>
      </c>
      <c r="W253" t="str">
        <f t="shared" si="215"/>
        <v>1-0,246160245882688i</v>
      </c>
      <c r="X253" s="4">
        <f t="shared" si="228"/>
        <v>1.02985186636381</v>
      </c>
      <c r="Y253" s="4">
        <f t="shared" si="229"/>
        <v>-0.241361524678103</v>
      </c>
      <c r="Z253" t="str">
        <f t="shared" si="216"/>
        <v>0,999964360018942+0,0130615640672446i</v>
      </c>
      <c r="AA253" s="4">
        <f t="shared" si="230"/>
        <v>1.00004966164885</v>
      </c>
      <c r="AB253" s="4">
        <f t="shared" si="231"/>
        <v>0.0130612868073354</v>
      </c>
      <c r="AC253" s="67" t="str">
        <f t="shared" si="232"/>
        <v>-0,0458259638346139-3,6577430118924i</v>
      </c>
      <c r="AD253" s="68">
        <f t="shared" si="233"/>
        <v>11.2649454127564</v>
      </c>
      <c r="AE253" s="31">
        <f t="shared" si="234"/>
        <v>-90.7177915311635</v>
      </c>
      <c r="AF253" s="32" t="str">
        <f t="shared" si="235"/>
        <v>75,4669735059805</v>
      </c>
      <c r="AG253" s="32" t="str">
        <f t="shared" si="217"/>
        <v>1+2,63743120588594i</v>
      </c>
      <c r="AH253" s="32">
        <f t="shared" si="236"/>
        <v>2.82064591286836</v>
      </c>
      <c r="AI253" s="32">
        <f t="shared" si="237"/>
        <v>1.20838632050589</v>
      </c>
      <c r="AJ253" s="32" t="str">
        <f t="shared" si="218"/>
        <v>1+0,002813259952945i</v>
      </c>
      <c r="AK253" s="32">
        <f t="shared" si="238"/>
        <v>1.00000395720795</v>
      </c>
      <c r="AL253" s="32">
        <f t="shared" si="239"/>
        <v>0.00281325253119579</v>
      </c>
      <c r="AM253" s="32" t="str">
        <f t="shared" si="219"/>
        <v>1-0,0314532024658144i</v>
      </c>
      <c r="AN253" s="32">
        <f t="shared" si="240"/>
        <v>1.00049452969287</v>
      </c>
      <c r="AO253" s="32">
        <f t="shared" si="241"/>
        <v>-0.0314428363591593</v>
      </c>
      <c r="AP253" s="30" t="str">
        <f t="shared" si="242"/>
        <v>8,76983494919442-25,291206148306i</v>
      </c>
      <c r="AQ253" s="32">
        <f t="shared" si="243"/>
        <v>28.552495995573</v>
      </c>
      <c r="AR253" s="31">
        <f t="shared" si="244"/>
        <v>-70.8757905088889</v>
      </c>
      <c r="AS253" t="str">
        <f t="shared" si="220"/>
        <v>-0,000338461538461538</v>
      </c>
      <c r="AT253" t="str">
        <f t="shared" si="221"/>
        <v>0,00246236203901416i</v>
      </c>
      <c r="AU253">
        <f t="shared" si="245"/>
        <v>0.00246236203901416</v>
      </c>
      <c r="AV253">
        <f t="shared" si="246"/>
        <v>1.5707963267949</v>
      </c>
      <c r="AW253" t="str">
        <f t="shared" si="222"/>
        <v>1+0,399632243304838i</v>
      </c>
      <c r="AX253">
        <f t="shared" si="247"/>
        <v>1.0768964341518</v>
      </c>
      <c r="AY253">
        <f t="shared" si="248"/>
        <v>0.380189305280508</v>
      </c>
      <c r="AZ253" t="str">
        <f t="shared" si="223"/>
        <v>1+3,4884423416518i</v>
      </c>
      <c r="BA253">
        <f t="shared" si="249"/>
        <v>3.62894336839652</v>
      </c>
      <c r="BB253">
        <f t="shared" si="250"/>
        <v>1.29162172072667</v>
      </c>
      <c r="BC253" s="30" t="str">
        <f t="shared" si="251"/>
        <v>-0,366100858737036+0,283759718316823i</v>
      </c>
      <c r="BD253" s="32">
        <f t="shared" si="252"/>
        <v>-6.68472662245415</v>
      </c>
      <c r="BE253" s="31">
        <f t="shared" si="253"/>
        <v>142.221230716479</v>
      </c>
      <c r="BF253" s="30" t="str">
        <f t="shared" si="254"/>
        <v>1,05469705144222+1,32609929510389i</v>
      </c>
      <c r="BG253" s="68">
        <f t="shared" si="255"/>
        <v>4.58021879030226</v>
      </c>
      <c r="BH253" s="31">
        <f t="shared" si="256"/>
        <v>51.5034391853157</v>
      </c>
      <c r="BI253" s="30" t="str">
        <f t="shared" si="263"/>
        <v>3,96598142665386+11,7476581842587i</v>
      </c>
      <c r="BJ253" s="68">
        <f t="shared" si="257"/>
        <v>21.8677693731188</v>
      </c>
      <c r="BK253" s="31">
        <f t="shared" si="264"/>
        <v>71.3454402075905</v>
      </c>
      <c r="BL253" s="32">
        <f t="shared" si="258"/>
        <v>4.58021879030226</v>
      </c>
      <c r="BM253" s="31">
        <f t="shared" si="259"/>
        <v>51.5034391853157</v>
      </c>
      <c r="BO253">
        <f t="shared" si="260"/>
        <v>0</v>
      </c>
      <c r="BP253">
        <f t="shared" si="261"/>
        <v>0</v>
      </c>
    </row>
    <row r="254" spans="14:68">
      <c r="N254" s="7">
        <v>36</v>
      </c>
      <c r="O254" s="18">
        <f t="shared" si="262"/>
        <v>2290.86765276777</v>
      </c>
      <c r="P254" s="86" t="str">
        <f t="shared" si="212"/>
        <v>15</v>
      </c>
      <c r="Q254" s="4" t="str">
        <f t="shared" si="213"/>
        <v>1+4,19823424316435i</v>
      </c>
      <c r="R254" s="4">
        <f t="shared" si="224"/>
        <v>4.31568890914043</v>
      </c>
      <c r="S254" s="4">
        <f t="shared" si="225"/>
        <v>1.3369583787779</v>
      </c>
      <c r="T254" s="4" t="str">
        <f t="shared" si="214"/>
        <v>1+0,0028787891953127i</v>
      </c>
      <c r="U254" s="4">
        <f t="shared" si="226"/>
        <v>1.00000414370503</v>
      </c>
      <c r="V254" s="4">
        <f t="shared" si="227"/>
        <v>0.00287878124276692</v>
      </c>
      <c r="W254" t="str">
        <f t="shared" si="215"/>
        <v>1-0,251894054589861i</v>
      </c>
      <c r="X254" s="4">
        <f t="shared" si="228"/>
        <v>1.03123741919003</v>
      </c>
      <c r="Y254" s="4">
        <f t="shared" si="229"/>
        <v>-0.246760506757983</v>
      </c>
      <c r="Z254" t="str">
        <f t="shared" si="216"/>
        <v>0,999962680358382+0,0133658069782375i</v>
      </c>
      <c r="AA254" s="4">
        <f t="shared" si="230"/>
        <v>1.00005200210074</v>
      </c>
      <c r="AB254" s="4">
        <f t="shared" si="231"/>
        <v>0.013365509889559</v>
      </c>
      <c r="AC254" s="67" t="str">
        <f t="shared" si="232"/>
        <v>-0,0838933494871301-3,58310883909033i</v>
      </c>
      <c r="AD254" s="68">
        <f t="shared" si="233"/>
        <v>11.0875801347562</v>
      </c>
      <c r="AE254" s="31">
        <f t="shared" si="234"/>
        <v>-91.3412533687285</v>
      </c>
      <c r="AF254" s="32" t="str">
        <f t="shared" si="235"/>
        <v>75,4669735059805</v>
      </c>
      <c r="AG254" s="32" t="str">
        <f t="shared" si="217"/>
        <v>1+2,69886487060566i</v>
      </c>
      <c r="AH254" s="32">
        <f t="shared" si="236"/>
        <v>2.87817157059639</v>
      </c>
      <c r="AI254" s="32">
        <f t="shared" si="237"/>
        <v>1.21595369659279</v>
      </c>
      <c r="AJ254" s="32" t="str">
        <f t="shared" si="218"/>
        <v>1+0,0028787891953127i</v>
      </c>
      <c r="AK254" s="32">
        <f t="shared" si="238"/>
        <v>1.00000414370503</v>
      </c>
      <c r="AL254" s="32">
        <f t="shared" si="239"/>
        <v>0.00287878124276692</v>
      </c>
      <c r="AM254" s="32" t="str">
        <f t="shared" si="219"/>
        <v>1-0,0321858416680556i</v>
      </c>
      <c r="AN254" s="32">
        <f t="shared" si="240"/>
        <v>1.00051783012792</v>
      </c>
      <c r="AO254" s="32">
        <f t="shared" si="241"/>
        <v>-0.032174734495118</v>
      </c>
      <c r="AP254" s="30" t="str">
        <f t="shared" si="242"/>
        <v>8,39038202488721-24,8562218504282i</v>
      </c>
      <c r="AQ254" s="32">
        <f t="shared" si="243"/>
        <v>28.3773377328875</v>
      </c>
      <c r="AR254" s="31">
        <f t="shared" si="244"/>
        <v>-71.3475493762703</v>
      </c>
      <c r="AS254" t="str">
        <f t="shared" si="220"/>
        <v>-0,000338461538461538</v>
      </c>
      <c r="AT254" t="str">
        <f t="shared" si="221"/>
        <v>0,00251971781898134i</v>
      </c>
      <c r="AU254">
        <f t="shared" si="245"/>
        <v>0.00251971781898134</v>
      </c>
      <c r="AV254">
        <f t="shared" si="246"/>
        <v>1.5707963267949</v>
      </c>
      <c r="AW254" t="str">
        <f t="shared" si="222"/>
        <v>1+0,408940874063278i</v>
      </c>
      <c r="AX254">
        <f t="shared" si="247"/>
        <v>1.08038541200797</v>
      </c>
      <c r="AY254">
        <f t="shared" si="248"/>
        <v>0.388190185833925</v>
      </c>
      <c r="AZ254" t="str">
        <f t="shared" si="223"/>
        <v>1+3,56969860218775i</v>
      </c>
      <c r="BA254">
        <f t="shared" si="249"/>
        <v>3.7071212699966</v>
      </c>
      <c r="BB254">
        <f t="shared" si="250"/>
        <v>1.29766179791377</v>
      </c>
      <c r="BC254" s="30" t="str">
        <f t="shared" si="251"/>
        <v>-0,363740117280956+0,283073377078634i</v>
      </c>
      <c r="BD254" s="32">
        <f t="shared" si="252"/>
        <v>-6.72769002614933</v>
      </c>
      <c r="BE254" s="31">
        <f t="shared" si="253"/>
        <v>142.108884959134</v>
      </c>
      <c r="BF254" s="30" t="str">
        <f t="shared" si="254"/>
        <v>1,04479809630314+1,27957245560739i</v>
      </c>
      <c r="BG254" s="68">
        <f t="shared" si="255"/>
        <v>4.35989010860682</v>
      </c>
      <c r="BH254" s="31">
        <f t="shared" si="256"/>
        <v>50.7676315904059</v>
      </c>
      <c r="BI254" s="30" t="str">
        <f t="shared" si="263"/>
        <v>3,98421611885194+11,4162988258009i</v>
      </c>
      <c r="BJ254" s="68">
        <f t="shared" si="257"/>
        <v>21.6496477067382</v>
      </c>
      <c r="BK254" s="31">
        <f t="shared" si="264"/>
        <v>70.761335582864</v>
      </c>
      <c r="BL254" s="32">
        <f t="shared" si="258"/>
        <v>4.35989010860682</v>
      </c>
      <c r="BM254" s="31">
        <f t="shared" si="259"/>
        <v>50.7676315904059</v>
      </c>
      <c r="BO254">
        <f t="shared" si="260"/>
        <v>0</v>
      </c>
      <c r="BP254">
        <f t="shared" si="261"/>
        <v>0</v>
      </c>
    </row>
    <row r="255" spans="14:68">
      <c r="N255" s="7">
        <v>37</v>
      </c>
      <c r="O255" s="18">
        <f t="shared" si="262"/>
        <v>2344.22881531992</v>
      </c>
      <c r="P255" s="86" t="str">
        <f t="shared" si="212"/>
        <v>15</v>
      </c>
      <c r="Q255" s="4" t="str">
        <f t="shared" si="213"/>
        <v>1+4,29602368098318i</v>
      </c>
      <c r="R255" s="4">
        <f t="shared" si="224"/>
        <v>4.41087513624771</v>
      </c>
      <c r="S255" s="4">
        <f t="shared" si="225"/>
        <v>1.34209548994703</v>
      </c>
      <c r="T255" s="4" t="str">
        <f t="shared" si="214"/>
        <v>1+0,00294584480981704i</v>
      </c>
      <c r="U255" s="4">
        <f t="shared" si="226"/>
        <v>1.00000433899141</v>
      </c>
      <c r="V255" s="4">
        <f t="shared" si="227"/>
        <v>0.00294583628851271</v>
      </c>
      <c r="W255" t="str">
        <f t="shared" si="215"/>
        <v>1-0,257761420858991i</v>
      </c>
      <c r="X255" s="4">
        <f t="shared" si="228"/>
        <v>1.03268627863609</v>
      </c>
      <c r="Y255" s="4">
        <f t="shared" si="229"/>
        <v>-0.252270084647678</v>
      </c>
      <c r="Z255" t="str">
        <f t="shared" si="216"/>
        <v>0,999960921537859+0,0136771366170076i</v>
      </c>
      <c r="AA255" s="4">
        <f t="shared" si="230"/>
        <v>1.00005445285189</v>
      </c>
      <c r="AB255" s="4">
        <f t="shared" si="231"/>
        <v>0.0136768182815014</v>
      </c>
      <c r="AC255" s="67" t="str">
        <f t="shared" si="232"/>
        <v>-0,120427315701252-3,50959993310271i</v>
      </c>
      <c r="AD255" s="68">
        <f t="shared" si="233"/>
        <v>10.9102627641927</v>
      </c>
      <c r="AE255" s="31">
        <f t="shared" si="234"/>
        <v>-91.9652584034566</v>
      </c>
      <c r="AF255" s="32" t="str">
        <f t="shared" si="235"/>
        <v>75,4669735059805</v>
      </c>
      <c r="AG255" s="32" t="str">
        <f t="shared" si="217"/>
        <v>1+2,76172950920348i</v>
      </c>
      <c r="AH255" s="32">
        <f t="shared" si="236"/>
        <v>2.93720102853129</v>
      </c>
      <c r="AI255" s="32">
        <f t="shared" si="237"/>
        <v>1.22339005092593</v>
      </c>
      <c r="AJ255" s="32" t="str">
        <f t="shared" si="218"/>
        <v>1+0,00294584480981704i</v>
      </c>
      <c r="AK255" s="32">
        <f t="shared" si="238"/>
        <v>1.00000433899141</v>
      </c>
      <c r="AL255" s="32">
        <f t="shared" si="239"/>
        <v>0.00294583628851271</v>
      </c>
      <c r="AM255" s="32" t="str">
        <f t="shared" si="219"/>
        <v>1-0,0329355462295792i</v>
      </c>
      <c r="AN255" s="32">
        <f t="shared" si="240"/>
        <v>1.00054222809707</v>
      </c>
      <c r="AO255" s="32">
        <f t="shared" si="241"/>
        <v>-0.0329236450276719</v>
      </c>
      <c r="AP255" s="30" t="str">
        <f t="shared" si="242"/>
        <v>8,02395482610849-24,423224826277i</v>
      </c>
      <c r="AQ255" s="32">
        <f t="shared" si="243"/>
        <v>28.2012113843752</v>
      </c>
      <c r="AR255" s="31">
        <f t="shared" si="244"/>
        <v>-71.8126885361549</v>
      </c>
      <c r="AS255" t="str">
        <f t="shared" si="220"/>
        <v>-0,000338461538461538</v>
      </c>
      <c r="AT255" t="str">
        <f t="shared" si="221"/>
        <v>0,00257840958668855i</v>
      </c>
      <c r="AU255">
        <f t="shared" si="245"/>
        <v>0.00257840958668855</v>
      </c>
      <c r="AV255">
        <f t="shared" si="246"/>
        <v>1.5707963267949</v>
      </c>
      <c r="AW255" t="str">
        <f t="shared" si="222"/>
        <v>1+0,418466330686119i</v>
      </c>
      <c r="AX255">
        <f t="shared" si="247"/>
        <v>1.08402678468657</v>
      </c>
      <c r="AY255">
        <f t="shared" si="248"/>
        <v>0.396323580889218</v>
      </c>
      <c r="AZ255" t="str">
        <f t="shared" si="223"/>
        <v>1+3,65284756417313i</v>
      </c>
      <c r="BA255">
        <f t="shared" si="249"/>
        <v>3.78725432564088</v>
      </c>
      <c r="BB255">
        <f t="shared" si="250"/>
        <v>1.30358420297129</v>
      </c>
      <c r="BC255" s="30" t="str">
        <f t="shared" si="251"/>
        <v>-0,361300530462039+0,282459668551345i</v>
      </c>
      <c r="BD255" s="32">
        <f t="shared" si="252"/>
        <v>-6.77116251743462</v>
      </c>
      <c r="BE255" s="31">
        <f t="shared" si="253"/>
        <v>141.982204563716</v>
      </c>
      <c r="BF255" s="30" t="str">
        <f t="shared" si="254"/>
        <v>1,034830886897+1,23400445786204i</v>
      </c>
      <c r="BG255" s="68">
        <f t="shared" si="255"/>
        <v>4.13910024675812</v>
      </c>
      <c r="BH255" s="31">
        <f t="shared" si="256"/>
        <v>50.0169461602593</v>
      </c>
      <c r="BI255" s="30" t="str">
        <f t="shared" si="263"/>
        <v>3,99951685430875+11,0905677059811i</v>
      </c>
      <c r="BJ255" s="68">
        <f t="shared" si="257"/>
        <v>21.4300488669406</v>
      </c>
      <c r="BK255" s="31">
        <f t="shared" si="264"/>
        <v>70.1695160275612</v>
      </c>
      <c r="BL255" s="32">
        <f t="shared" si="258"/>
        <v>4.13910024675812</v>
      </c>
      <c r="BM255" s="31">
        <f t="shared" si="259"/>
        <v>50.0169461602593</v>
      </c>
      <c r="BO255">
        <f t="shared" si="260"/>
        <v>0</v>
      </c>
      <c r="BP255">
        <f t="shared" si="261"/>
        <v>0</v>
      </c>
    </row>
    <row r="256" spans="14:68">
      <c r="N256" s="7">
        <v>38</v>
      </c>
      <c r="O256" s="18">
        <f t="shared" si="262"/>
        <v>2398.83291901949</v>
      </c>
      <c r="P256" s="86" t="str">
        <f t="shared" si="212"/>
        <v>15</v>
      </c>
      <c r="Q256" s="4" t="str">
        <f t="shared" si="213"/>
        <v>1+4,39609092742225i</v>
      </c>
      <c r="R256" s="4">
        <f t="shared" si="224"/>
        <v>4.50839388720243</v>
      </c>
      <c r="S256" s="4">
        <f t="shared" si="225"/>
        <v>1.34712756565101</v>
      </c>
      <c r="T256" s="4" t="str">
        <f t="shared" si="214"/>
        <v>1+0,0030144623502324i</v>
      </c>
      <c r="U256" s="4">
        <f t="shared" si="226"/>
        <v>1.00000454348131</v>
      </c>
      <c r="V256" s="4">
        <f t="shared" si="227"/>
        <v>0.00301445321949254</v>
      </c>
      <c r="W256" t="str">
        <f t="shared" si="215"/>
        <v>1-0,263765455645335i</v>
      </c>
      <c r="X256" s="4">
        <f t="shared" si="228"/>
        <v>1.03420124520897</v>
      </c>
      <c r="Y256" s="4">
        <f t="shared" si="229"/>
        <v>-0.257891841067212</v>
      </c>
      <c r="Z256" t="str">
        <f t="shared" si="216"/>
        <v>0,999959079826678+0,0139957180546504i</v>
      </c>
      <c r="AA256" s="4">
        <f t="shared" si="230"/>
        <v>1.00005701910025</v>
      </c>
      <c r="AB256" s="4">
        <f t="shared" si="231"/>
        <v>0.0139953769528494</v>
      </c>
      <c r="AC256" s="67" t="str">
        <f t="shared" si="232"/>
        <v>-0,155482193497466-3,43722374774806i</v>
      </c>
      <c r="AD256" s="68">
        <f t="shared" si="233"/>
        <v>10.7330334792163</v>
      </c>
      <c r="AE256" s="31">
        <f t="shared" si="234"/>
        <v>-92.589998626622</v>
      </c>
      <c r="AF256" s="32" t="str">
        <f t="shared" si="235"/>
        <v>75,4669735059805</v>
      </c>
      <c r="AG256" s="32" t="str">
        <f t="shared" si="217"/>
        <v>1+2,82605845334288i</v>
      </c>
      <c r="AH256" s="32">
        <f t="shared" si="236"/>
        <v>2.9977668991619</v>
      </c>
      <c r="AI256" s="32">
        <f t="shared" si="237"/>
        <v>1.23069603557357</v>
      </c>
      <c r="AJ256" s="32" t="str">
        <f t="shared" si="218"/>
        <v>1+0,0030144623502324i</v>
      </c>
      <c r="AK256" s="32">
        <f t="shared" si="238"/>
        <v>1.00000454348131</v>
      </c>
      <c r="AL256" s="32">
        <f t="shared" si="239"/>
        <v>0.00301445321949254</v>
      </c>
      <c r="AM256" s="32" t="str">
        <f t="shared" si="219"/>
        <v>1-0,0337027136536671i</v>
      </c>
      <c r="AN256" s="32">
        <f t="shared" si="240"/>
        <v>1.00056777526943</v>
      </c>
      <c r="AO256" s="32">
        <f t="shared" si="241"/>
        <v>-0.0336899616768637</v>
      </c>
      <c r="AP256" s="30" t="str">
        <f t="shared" si="242"/>
        <v>7,67026274129431-23,9925603074569i</v>
      </c>
      <c r="AQ256" s="32">
        <f t="shared" si="243"/>
        <v>28.0241511719588</v>
      </c>
      <c r="AR256" s="31">
        <f t="shared" si="244"/>
        <v>-72.2712658708731</v>
      </c>
      <c r="AS256" t="str">
        <f t="shared" si="220"/>
        <v>-0,000338461538461538</v>
      </c>
      <c r="AT256" t="str">
        <f t="shared" si="221"/>
        <v>0,00263846846128791i</v>
      </c>
      <c r="AU256">
        <f t="shared" si="245"/>
        <v>0.00263846846128791</v>
      </c>
      <c r="AV256">
        <f t="shared" si="246"/>
        <v>1.5707963267949</v>
      </c>
      <c r="AW256" t="str">
        <f t="shared" si="222"/>
        <v>1+0,428213663696545i</v>
      </c>
      <c r="AX256">
        <f t="shared" si="247"/>
        <v>1.08782670576541</v>
      </c>
      <c r="AY256">
        <f t="shared" si="248"/>
        <v>0.404589497501466</v>
      </c>
      <c r="AZ256" t="str">
        <f t="shared" si="223"/>
        <v>1+3,73793331428817i</v>
      </c>
      <c r="BA256">
        <f t="shared" si="249"/>
        <v>3.86938566985321</v>
      </c>
      <c r="BB256">
        <f t="shared" si="250"/>
        <v>1.30939041355246</v>
      </c>
      <c r="BC256" s="30" t="str">
        <f t="shared" si="251"/>
        <v>-0,358780798944239+0,281914387180429i</v>
      </c>
      <c r="BD256" s="32">
        <f t="shared" si="252"/>
        <v>-6.81520561043305</v>
      </c>
      <c r="BE256" s="31">
        <f t="shared" si="253"/>
        <v>141.841273789292</v>
      </c>
      <c r="BF256" s="30" t="str">
        <f t="shared" si="254"/>
        <v>1,02478685205304+1,18937721506985i</v>
      </c>
      <c r="BG256" s="68">
        <f t="shared" si="255"/>
        <v>3.9178278687833</v>
      </c>
      <c r="BH256" s="31">
        <f t="shared" si="256"/>
        <v>49.2512751626702</v>
      </c>
      <c r="BI256" s="30" t="str">
        <f t="shared" si="263"/>
        <v>4,01190494153239+10,7704273760521i</v>
      </c>
      <c r="BJ256" s="68">
        <f t="shared" si="257"/>
        <v>21.2089455615258</v>
      </c>
      <c r="BK256" s="31">
        <f t="shared" si="264"/>
        <v>69.5700079184194</v>
      </c>
      <c r="BL256" s="32">
        <f t="shared" si="258"/>
        <v>3.9178278687833</v>
      </c>
      <c r="BM256" s="31">
        <f t="shared" si="259"/>
        <v>49.2512751626702</v>
      </c>
      <c r="BO256">
        <f t="shared" si="260"/>
        <v>0</v>
      </c>
      <c r="BP256">
        <f t="shared" si="261"/>
        <v>0</v>
      </c>
    </row>
    <row r="257" spans="14:68">
      <c r="N257" s="7">
        <v>39</v>
      </c>
      <c r="O257" s="18">
        <f t="shared" si="262"/>
        <v>2454.70891568503</v>
      </c>
      <c r="P257" s="86" t="str">
        <f t="shared" si="212"/>
        <v>15</v>
      </c>
      <c r="Q257" s="4" t="str">
        <f t="shared" si="213"/>
        <v>1+4,49848903946018i</v>
      </c>
      <c r="R257" s="4">
        <f t="shared" si="224"/>
        <v>4.60829726017576</v>
      </c>
      <c r="S257" s="4">
        <f t="shared" si="225"/>
        <v>1.35205625413737</v>
      </c>
      <c r="T257" s="4" t="str">
        <f t="shared" si="214"/>
        <v>1+0,00308467819848698i</v>
      </c>
      <c r="U257" s="4">
        <f t="shared" si="226"/>
        <v>1.00000475760848</v>
      </c>
      <c r="V257" s="4">
        <f t="shared" si="227"/>
        <v>0.00308466841472547</v>
      </c>
      <c r="W257" t="str">
        <f t="shared" si="215"/>
        <v>1-0,269909342367611i</v>
      </c>
      <c r="X257" s="4">
        <f t="shared" si="228"/>
        <v>1.03578523502573</v>
      </c>
      <c r="Y257" s="4">
        <f t="shared" si="229"/>
        <v>-0.263627334788001</v>
      </c>
      <c r="Z257" t="str">
        <f t="shared" si="216"/>
        <v>0,999957151318324+0,0143217202072609i</v>
      </c>
      <c r="AA257" s="4">
        <f t="shared" si="230"/>
        <v>1.00005970628876</v>
      </c>
      <c r="AB257" s="4">
        <f t="shared" si="231"/>
        <v>0.0143213547110379</v>
      </c>
      <c r="AC257" s="67" t="str">
        <f t="shared" si="232"/>
        <v>-0,189111013396841-3,36598576677547i</v>
      </c>
      <c r="AD257" s="68">
        <f t="shared" si="233"/>
        <v>10.5559325233149</v>
      </c>
      <c r="AE257" s="31">
        <f t="shared" si="234"/>
        <v>-93.2156653744647</v>
      </c>
      <c r="AF257" s="32" t="str">
        <f t="shared" si="235"/>
        <v>75,4669735059805</v>
      </c>
      <c r="AG257" s="32" t="str">
        <f t="shared" si="217"/>
        <v>1+2,89188581108155i</v>
      </c>
      <c r="AH257" s="32">
        <f t="shared" si="236"/>
        <v>3.0599025383719</v>
      </c>
      <c r="AI257" s="32">
        <f t="shared" si="237"/>
        <v>1.23787240350991</v>
      </c>
      <c r="AJ257" s="32" t="str">
        <f t="shared" si="218"/>
        <v>1+0,00308467819848698i</v>
      </c>
      <c r="AK257" s="32">
        <f t="shared" si="238"/>
        <v>1.00000475760848</v>
      </c>
      <c r="AL257" s="32">
        <f t="shared" si="239"/>
        <v>0.00308466841472547</v>
      </c>
      <c r="AM257" s="32" t="str">
        <f t="shared" si="219"/>
        <v>1-0,0344877507026424i</v>
      </c>
      <c r="AN257" s="32">
        <f t="shared" si="240"/>
        <v>1.00059452574383</v>
      </c>
      <c r="AO257" s="32">
        <f t="shared" si="241"/>
        <v>-0.034474087151765</v>
      </c>
      <c r="AP257" s="30" t="str">
        <f t="shared" si="242"/>
        <v>7,32900894107553-23,5645518066636i</v>
      </c>
      <c r="AQ257" s="32">
        <f t="shared" si="243"/>
        <v>27.8461905683995</v>
      </c>
      <c r="AR257" s="31">
        <f t="shared" si="244"/>
        <v>-72.7233455118345</v>
      </c>
      <c r="AS257" t="str">
        <f t="shared" si="220"/>
        <v>-0,000338461538461538</v>
      </c>
      <c r="AT257" t="str">
        <f t="shared" si="221"/>
        <v>0,00269992628678971i</v>
      </c>
      <c r="AU257">
        <f t="shared" si="245"/>
        <v>0.00269992628678971</v>
      </c>
      <c r="AV257">
        <f t="shared" si="246"/>
        <v>1.5707963267949</v>
      </c>
      <c r="AW257" t="str">
        <f t="shared" si="222"/>
        <v>1+0,438188041259541i</v>
      </c>
      <c r="AX257">
        <f t="shared" si="247"/>
        <v>1.09179153665106</v>
      </c>
      <c r="AY257">
        <f t="shared" si="248"/>
        <v>0.412987799142764</v>
      </c>
      <c r="AZ257" t="str">
        <f t="shared" si="223"/>
        <v>1+3,82500096612385i</v>
      </c>
      <c r="BA257">
        <f t="shared" si="249"/>
        <v>3.95355945836766</v>
      </c>
      <c r="BB257">
        <f t="shared" si="250"/>
        <v>1.31508194163597</v>
      </c>
      <c r="BC257" s="30" t="str">
        <f t="shared" si="251"/>
        <v>-0,356179712128801+0,281433238214939i</v>
      </c>
      <c r="BD257" s="32">
        <f t="shared" si="252"/>
        <v>-6.85988063715112</v>
      </c>
      <c r="BE257" s="31">
        <f t="shared" si="253"/>
        <v>141.686187088334</v>
      </c>
      <c r="BF257" s="30" t="str">
        <f t="shared" si="254"/>
        <v>1,01465778044109+1,14567371655735i</v>
      </c>
      <c r="BG257" s="68">
        <f t="shared" si="255"/>
        <v>3.69605188616383</v>
      </c>
      <c r="BH257" s="31">
        <f t="shared" si="256"/>
        <v>48.4705217138689</v>
      </c>
      <c r="BI257" s="30" t="str">
        <f t="shared" si="263"/>
        <v>4,02140382721134+10,4558419981348i</v>
      </c>
      <c r="BJ257" s="68">
        <f t="shared" si="257"/>
        <v>20.9863099312483</v>
      </c>
      <c r="BK257" s="31">
        <f t="shared" si="264"/>
        <v>68.9628415764991</v>
      </c>
      <c r="BL257" s="32">
        <f t="shared" si="258"/>
        <v>3.69605188616383</v>
      </c>
      <c r="BM257" s="31">
        <f t="shared" si="259"/>
        <v>48.4705217138689</v>
      </c>
      <c r="BO257">
        <f t="shared" si="260"/>
        <v>0</v>
      </c>
      <c r="BP257">
        <f t="shared" si="261"/>
        <v>0</v>
      </c>
    </row>
    <row r="258" spans="14:68">
      <c r="N258" s="7">
        <v>40</v>
      </c>
      <c r="O258" s="18">
        <f t="shared" si="262"/>
        <v>2511.88643150958</v>
      </c>
      <c r="P258" s="86" t="str">
        <f t="shared" si="212"/>
        <v>15</v>
      </c>
      <c r="Q258" s="4" t="str">
        <f t="shared" si="213"/>
        <v>1+4,6032723099314i</v>
      </c>
      <c r="R258" s="4">
        <f t="shared" si="224"/>
        <v>4.71063859358592</v>
      </c>
      <c r="S258" s="4">
        <f t="shared" si="225"/>
        <v>1.35688321040771</v>
      </c>
      <c r="T258" s="4" t="str">
        <f t="shared" si="214"/>
        <v>1+0,00315652958395296i</v>
      </c>
      <c r="U258" s="4">
        <f t="shared" si="226"/>
        <v>1.0000049818271</v>
      </c>
      <c r="V258" s="4">
        <f t="shared" si="227"/>
        <v>0.00315651910046644</v>
      </c>
      <c r="W258" t="str">
        <f t="shared" si="215"/>
        <v>1-0,276196338595884i</v>
      </c>
      <c r="X258" s="4">
        <f t="shared" si="228"/>
        <v>1.0374412838584</v>
      </c>
      <c r="Y258" s="4">
        <f t="shared" si="229"/>
        <v>-0.269478096832752</v>
      </c>
      <c r="Z258" t="str">
        <f t="shared" si="216"/>
        <v>0,99995513192217+0,0146553159254958i</v>
      </c>
      <c r="AA258" s="4">
        <f t="shared" si="230"/>
        <v>1.0000625201168</v>
      </c>
      <c r="AB258" s="4">
        <f t="shared" si="231"/>
        <v>0.0146549242902937</v>
      </c>
      <c r="AC258" s="67" t="str">
        <f t="shared" si="232"/>
        <v>-0,221365480200493-3,29588962712122i</v>
      </c>
      <c r="AD258" s="68">
        <f t="shared" si="233"/>
        <v>10.3790002349948</v>
      </c>
      <c r="AE258" s="31">
        <f t="shared" si="234"/>
        <v>-93.8424489567661</v>
      </c>
      <c r="AF258" s="32" t="str">
        <f t="shared" si="235"/>
        <v>75,4669735059805</v>
      </c>
      <c r="AG258" s="32" t="str">
        <f t="shared" si="217"/>
        <v>1+2,9592464849559i</v>
      </c>
      <c r="AH258" s="32">
        <f t="shared" si="236"/>
        <v>3.12364206635841</v>
      </c>
      <c r="AI258" s="32">
        <f t="shared" si="237"/>
        <v>1.24492000212512</v>
      </c>
      <c r="AJ258" s="32" t="str">
        <f t="shared" si="218"/>
        <v>1+0,00315652958395296i</v>
      </c>
      <c r="AK258" s="32">
        <f t="shared" si="238"/>
        <v>1.0000049818271</v>
      </c>
      <c r="AL258" s="32">
        <f t="shared" si="239"/>
        <v>0.00315651910046644</v>
      </c>
      <c r="AM258" s="32" t="str">
        <f t="shared" si="219"/>
        <v>1-0,0352910736135397i</v>
      </c>
      <c r="AN258" s="32">
        <f t="shared" si="240"/>
        <v>1.00062253616276</v>
      </c>
      <c r="AO258" s="32">
        <f t="shared" si="241"/>
        <v>-0.035276433346904</v>
      </c>
      <c r="AP258" s="30" t="str">
        <f t="shared" si="242"/>
        <v>6,99989165706648-23,1395015641537i</v>
      </c>
      <c r="AQ258" s="32">
        <f t="shared" si="243"/>
        <v>27.6673622836776</v>
      </c>
      <c r="AR258" s="31">
        <f t="shared" si="244"/>
        <v>-73.1689974778298</v>
      </c>
      <c r="AS258" t="str">
        <f t="shared" si="220"/>
        <v>-0,000338461538461538</v>
      </c>
      <c r="AT258" t="str">
        <f t="shared" si="221"/>
        <v>0,0027628156489465i</v>
      </c>
      <c r="AU258">
        <f t="shared" si="245"/>
        <v>0.0027628156489465</v>
      </c>
      <c r="AV258">
        <f t="shared" si="246"/>
        <v>1.5707963267949</v>
      </c>
      <c r="AW258" t="str">
        <f t="shared" si="222"/>
        <v>1+0,44839475192212i</v>
      </c>
      <c r="AX258">
        <f t="shared" si="247"/>
        <v>1.0959278505227</v>
      </c>
      <c r="AY258">
        <f t="shared" si="248"/>
        <v>0.421518198896922</v>
      </c>
      <c r="AZ258" t="str">
        <f t="shared" si="223"/>
        <v>1+3,91409668410167i</v>
      </c>
      <c r="BA258">
        <f t="shared" si="249"/>
        <v>4.03982089361592</v>
      </c>
      <c r="BB258">
        <f t="shared" si="250"/>
        <v>1.32066032938931</v>
      </c>
      <c r="BC258" s="30" t="str">
        <f t="shared" si="251"/>
        <v>-0,353496158040493+0,281011838222698i</v>
      </c>
      <c r="BD258" s="32">
        <f t="shared" si="252"/>
        <v>-6.90524871503529</v>
      </c>
      <c r="BE258" s="31">
        <f t="shared" si="253"/>
        <v>141.517049259615</v>
      </c>
      <c r="BF258" s="30" t="str">
        <f t="shared" si="254"/>
        <v>1,00443584947012+1,10287800000267i</v>
      </c>
      <c r="BG258" s="68">
        <f t="shared" si="255"/>
        <v>3.47375151995953</v>
      </c>
      <c r="BH258" s="31">
        <f t="shared" si="256"/>
        <v>47.6746003028484</v>
      </c>
      <c r="BI258" s="30" t="str">
        <f t="shared" si="263"/>
        <v>4,02803906262713+10,1467773238123i</v>
      </c>
      <c r="BJ258" s="68">
        <f t="shared" si="257"/>
        <v>20.7621135686423</v>
      </c>
      <c r="BK258" s="31">
        <f t="shared" si="264"/>
        <v>68.3480517817848</v>
      </c>
      <c r="BL258" s="32">
        <f t="shared" si="258"/>
        <v>3.47375151995953</v>
      </c>
      <c r="BM258" s="31">
        <f t="shared" si="259"/>
        <v>47.6746003028484</v>
      </c>
      <c r="BO258">
        <f t="shared" si="260"/>
        <v>0</v>
      </c>
      <c r="BP258">
        <f t="shared" si="261"/>
        <v>0</v>
      </c>
    </row>
    <row r="259" spans="14:68">
      <c r="N259" s="7">
        <v>41</v>
      </c>
      <c r="O259" s="18">
        <f t="shared" si="262"/>
        <v>2570.39578276887</v>
      </c>
      <c r="P259" s="86" t="str">
        <f t="shared" si="212"/>
        <v>15</v>
      </c>
      <c r="Q259" s="4" t="str">
        <f t="shared" si="213"/>
        <v>1+4,71049629631283i</v>
      </c>
      <c r="R259" s="4">
        <f t="shared" si="224"/>
        <v>4.81547249577618</v>
      </c>
      <c r="S259" s="4">
        <f t="shared" si="225"/>
        <v>1.36161009364054</v>
      </c>
      <c r="T259" s="4" t="str">
        <f t="shared" si="214"/>
        <v>1+0,00323005460318594i</v>
      </c>
      <c r="U259" s="4">
        <f t="shared" si="226"/>
        <v>1.00000521661276</v>
      </c>
      <c r="V259" s="4">
        <f t="shared" si="227"/>
        <v>0.00323004336993091</v>
      </c>
      <c r="W259" t="str">
        <f t="shared" si="215"/>
        <v>1-0,28262977777877i</v>
      </c>
      <c r="X259" s="4">
        <f t="shared" si="228"/>
        <v>1.03917255125762</v>
      </c>
      <c r="Y259" s="4">
        <f t="shared" si="229"/>
        <v>-0.275445626467915</v>
      </c>
      <c r="Z259" t="str">
        <f t="shared" si="216"/>
        <v>0,999953017354808+0,0149966820862204i</v>
      </c>
      <c r="AA259" s="4">
        <f t="shared" si="230"/>
        <v>1.00006546655236</v>
      </c>
      <c r="AB259" s="4">
        <f t="shared" si="231"/>
        <v>0.0149962624427264</v>
      </c>
      <c r="AC259" s="67" t="str">
        <f t="shared" si="232"/>
        <v>-0,252295954308157-3,2269372378781i</v>
      </c>
      <c r="AD259" s="68">
        <f t="shared" si="233"/>
        <v>10.2022770767697</v>
      </c>
      <c r="AE259" s="31">
        <f t="shared" si="234"/>
        <v>-94.4705382836615</v>
      </c>
      <c r="AF259" s="32" t="str">
        <f t="shared" si="235"/>
        <v>75,4669735059805</v>
      </c>
      <c r="AG259" s="32" t="str">
        <f t="shared" si="217"/>
        <v>1+3,02817619048682i</v>
      </c>
      <c r="AH259" s="32">
        <f t="shared" si="236"/>
        <v>3.18902038887042</v>
      </c>
      <c r="AI259" s="32">
        <f t="shared" si="237"/>
        <v>1.2518397668789</v>
      </c>
      <c r="AJ259" s="32" t="str">
        <f t="shared" si="218"/>
        <v>1+0,00323005460318594i</v>
      </c>
      <c r="AK259" s="32">
        <f t="shared" si="238"/>
        <v>1.00000521661276</v>
      </c>
      <c r="AL259" s="32">
        <f t="shared" si="239"/>
        <v>0.00323004336993091</v>
      </c>
      <c r="AM259" s="32" t="str">
        <f t="shared" si="219"/>
        <v>1-0,0361131083187993i</v>
      </c>
      <c r="AN259" s="32">
        <f t="shared" si="240"/>
        <v>1.00065186583169</v>
      </c>
      <c r="AO259" s="32">
        <f t="shared" si="241"/>
        <v>-0.0360974215423495</v>
      </c>
      <c r="AP259" s="30" t="str">
        <f t="shared" si="242"/>
        <v>6,68260538178779-22,7176910511008i</v>
      </c>
      <c r="AQ259" s="32">
        <f t="shared" si="243"/>
        <v>27.48769825467</v>
      </c>
      <c r="AR259" s="31">
        <f t="shared" si="244"/>
        <v>-73.6082973217416</v>
      </c>
      <c r="AS259" t="str">
        <f t="shared" si="220"/>
        <v>-0,000338461538461538</v>
      </c>
      <c r="AT259" t="str">
        <f t="shared" si="221"/>
        <v>0,00282716989253056i</v>
      </c>
      <c r="AU259">
        <f t="shared" si="245"/>
        <v>0.00282716989253056</v>
      </c>
      <c r="AV259">
        <f t="shared" si="246"/>
        <v>1.5707963267949</v>
      </c>
      <c r="AW259" t="str">
        <f t="shared" si="222"/>
        <v>1+0,458839207417371i</v>
      </c>
      <c r="AX259">
        <f t="shared" si="247"/>
        <v>1.10024243613097</v>
      </c>
      <c r="AY259">
        <f t="shared" si="248"/>
        <v>0.430180252747677</v>
      </c>
      <c r="AZ259" t="str">
        <f t="shared" si="223"/>
        <v>1+4,00526770795056i</v>
      </c>
      <c r="BA259">
        <f t="shared" si="249"/>
        <v>4.12821625067674</v>
      </c>
      <c r="BB259">
        <f t="shared" si="250"/>
        <v>1.32612714524146</v>
      </c>
      <c r="BC259" s="30" t="str">
        <f t="shared" si="251"/>
        <v>-0,350729133462352+0,280645716371943i</v>
      </c>
      <c r="BD259" s="32">
        <f t="shared" si="252"/>
        <v>-6.95137071085574</v>
      </c>
      <c r="BE259" s="31">
        <f t="shared" si="253"/>
        <v>141.333975607755</v>
      </c>
      <c r="BF259" s="30" t="str">
        <f t="shared" si="254"/>
        <v>0,994113654242155+1,06097512234383i</v>
      </c>
      <c r="BG259" s="68">
        <f t="shared" si="255"/>
        <v>3.25090636591398</v>
      </c>
      <c r="BH259" s="31">
        <f t="shared" si="256"/>
        <v>46.8634373240933</v>
      </c>
      <c r="BI259" s="30" t="str">
        <f t="shared" si="263"/>
        <v>4,03183828452738+9,84320067122085i</v>
      </c>
      <c r="BJ259" s="68">
        <f t="shared" si="257"/>
        <v>20.5363275438143</v>
      </c>
      <c r="BK259" s="31">
        <f t="shared" si="264"/>
        <v>67.7256782860131</v>
      </c>
      <c r="BL259" s="32">
        <f t="shared" si="258"/>
        <v>3.25090636591398</v>
      </c>
      <c r="BM259" s="31">
        <f t="shared" si="259"/>
        <v>46.8634373240933</v>
      </c>
      <c r="BO259">
        <f t="shared" si="260"/>
        <v>0</v>
      </c>
      <c r="BP259">
        <f t="shared" si="261"/>
        <v>0</v>
      </c>
    </row>
    <row r="260" spans="14:68">
      <c r="N260" s="7">
        <v>42</v>
      </c>
      <c r="O260" s="18">
        <f t="shared" si="262"/>
        <v>2630.26799189538</v>
      </c>
      <c r="P260" s="86" t="str">
        <f t="shared" si="212"/>
        <v>15</v>
      </c>
      <c r="Q260" s="4" t="str">
        <f t="shared" si="213"/>
        <v>1+4,82021785018136i</v>
      </c>
      <c r="R260" s="4">
        <f t="shared" si="224"/>
        <v>4.92285487529411</v>
      </c>
      <c r="S260" s="4">
        <f t="shared" si="225"/>
        <v>1.36623856478288</v>
      </c>
      <c r="T260" s="4" t="str">
        <f t="shared" si="214"/>
        <v>1+0,00330529224012436i</v>
      </c>
      <c r="U260" s="4">
        <f t="shared" si="226"/>
        <v>1.00000546246348</v>
      </c>
      <c r="V260" s="4">
        <f t="shared" si="227"/>
        <v>0.00330528020347829</v>
      </c>
      <c r="W260" t="str">
        <f t="shared" si="215"/>
        <v>1-0,289213071010882i</v>
      </c>
      <c r="X260" s="4">
        <f t="shared" si="228"/>
        <v>1.04098232475078</v>
      </c>
      <c r="Y260" s="4">
        <f t="shared" si="229"/>
        <v>-0.281531386985768</v>
      </c>
      <c r="Z260" t="str">
        <f t="shared" si="216"/>
        <v>0,999950803130957+0,0153459996862916i</v>
      </c>
      <c r="AA260" s="4">
        <f t="shared" si="230"/>
        <v>1.00006855184463</v>
      </c>
      <c r="AB260" s="4">
        <f t="shared" si="231"/>
        <v>0.0153455500315169</v>
      </c>
      <c r="AC260" s="67" t="str">
        <f t="shared" si="232"/>
        <v>-0,281951439020809-3,15912889486055i</v>
      </c>
      <c r="AD260" s="68">
        <f t="shared" si="233"/>
        <v>10.0258036632433</v>
      </c>
      <c r="AE260" s="31">
        <f t="shared" si="234"/>
        <v>-95.1001204901642</v>
      </c>
      <c r="AF260" s="32" t="str">
        <f t="shared" si="235"/>
        <v>75,4669735059805</v>
      </c>
      <c r="AG260" s="32" t="str">
        <f t="shared" si="217"/>
        <v>1+3,09871147511659i</v>
      </c>
      <c r="AH260" s="32">
        <f t="shared" si="236"/>
        <v>3.2560732187743</v>
      </c>
      <c r="AI260" s="32">
        <f t="shared" si="237"/>
        <v>1.25863271511356</v>
      </c>
      <c r="AJ260" s="32" t="str">
        <f t="shared" si="218"/>
        <v>1+0,00330529224012436i</v>
      </c>
      <c r="AK260" s="32">
        <f t="shared" si="238"/>
        <v>1.00000546246348</v>
      </c>
      <c r="AL260" s="32">
        <f t="shared" si="239"/>
        <v>0.00330528020347829</v>
      </c>
      <c r="AM260" s="32" t="str">
        <f t="shared" si="219"/>
        <v>1-0,0369542906721031i</v>
      </c>
      <c r="AN260" s="32">
        <f t="shared" si="240"/>
        <v>1.00068257684397</v>
      </c>
      <c r="AO260" s="32">
        <f t="shared" si="241"/>
        <v>-0.0369374826074714</v>
      </c>
      <c r="AP260" s="30" t="str">
        <f t="shared" si="242"/>
        <v>6,37684198972216-22,2993815217263i</v>
      </c>
      <c r="AQ260" s="32">
        <f t="shared" si="243"/>
        <v>27.3072296379159</v>
      </c>
      <c r="AR260" s="31">
        <f t="shared" si="244"/>
        <v>-74.0413257865773</v>
      </c>
      <c r="AS260" t="str">
        <f t="shared" si="220"/>
        <v>-0,000338461538461538</v>
      </c>
      <c r="AT260" t="str">
        <f t="shared" si="221"/>
        <v>0,00289302313901365i</v>
      </c>
      <c r="AU260">
        <f t="shared" si="245"/>
        <v>0.00289302313901365</v>
      </c>
      <c r="AV260">
        <f t="shared" si="246"/>
        <v>1.5707963267949</v>
      </c>
      <c r="AW260" t="str">
        <f t="shared" si="222"/>
        <v>1+0,469526945533851i</v>
      </c>
      <c r="AX260">
        <f t="shared" si="247"/>
        <v>1.10474230143611</v>
      </c>
      <c r="AY260">
        <f t="shared" si="248"/>
        <v>0.438973353002394</v>
      </c>
      <c r="AZ260" t="str">
        <f t="shared" si="223"/>
        <v>1+4,09856237775421i</v>
      </c>
      <c r="BA260">
        <f t="shared" si="249"/>
        <v>4.21879290370388</v>
      </c>
      <c r="BB260">
        <f t="shared" si="250"/>
        <v>1.33148398016173</v>
      </c>
      <c r="BC260" s="30" t="str">
        <f t="shared" si="251"/>
        <v>-0,347877754266761+0,280330316529806i</v>
      </c>
      <c r="BD260" s="32">
        <f t="shared" si="252"/>
        <v>-6.99830720067694</v>
      </c>
      <c r="BE260" s="31">
        <f t="shared" si="253"/>
        <v>141.137092106804</v>
      </c>
      <c r="BF260" s="30" t="str">
        <f t="shared" si="254"/>
        <v>0,983684236473555+1,01995112923658i</v>
      </c>
      <c r="BG260" s="68">
        <f t="shared" si="255"/>
        <v>3.02749646256633</v>
      </c>
      <c r="BH260" s="31">
        <f t="shared" si="256"/>
        <v>46.0369716166402</v>
      </c>
      <c r="BI260" s="30" t="str">
        <f t="shared" si="263"/>
        <v>4,03283120970591+9,54508089875522i</v>
      </c>
      <c r="BJ260" s="68">
        <f t="shared" si="257"/>
        <v>20.308922437239</v>
      </c>
      <c r="BK260" s="31">
        <f t="shared" si="264"/>
        <v>67.0957663202272</v>
      </c>
      <c r="BL260" s="32">
        <f t="shared" si="258"/>
        <v>3.02749646256633</v>
      </c>
      <c r="BM260" s="31">
        <f t="shared" si="259"/>
        <v>46.0369716166402</v>
      </c>
      <c r="BO260">
        <f t="shared" si="260"/>
        <v>0</v>
      </c>
      <c r="BP260">
        <f t="shared" si="261"/>
        <v>0</v>
      </c>
    </row>
    <row r="261" spans="14:68">
      <c r="N261" s="7">
        <v>43</v>
      </c>
      <c r="O261" s="18">
        <f t="shared" si="262"/>
        <v>2691.53480392692</v>
      </c>
      <c r="P261" s="86" t="str">
        <f t="shared" si="212"/>
        <v>15</v>
      </c>
      <c r="Q261" s="4" t="str">
        <f t="shared" si="213"/>
        <v>1+4,93249514735719i</v>
      </c>
      <c r="R261" s="4">
        <f t="shared" si="224"/>
        <v>5.03284297179062</v>
      </c>
      <c r="S261" s="4">
        <f t="shared" si="225"/>
        <v>1.37077028430427</v>
      </c>
      <c r="T261" s="4" t="str">
        <f t="shared" si="214"/>
        <v>1+0,00338228238675922i</v>
      </c>
      <c r="U261" s="4">
        <f t="shared" si="226"/>
        <v>1.00000571990071</v>
      </c>
      <c r="V261" s="4">
        <f t="shared" si="227"/>
        <v>0.00338226948926457</v>
      </c>
      <c r="W261" t="str">
        <f t="shared" si="215"/>
        <v>1-0,295949708841432i</v>
      </c>
      <c r="X261" s="4">
        <f t="shared" si="228"/>
        <v>1.04287402410997</v>
      </c>
      <c r="Y261" s="4">
        <f t="shared" si="229"/>
        <v>-0.287736801274096</v>
      </c>
      <c r="Z261" t="str">
        <f t="shared" si="216"/>
        <v>0,99994848455395+0,0157034539385249i</v>
      </c>
      <c r="AA261" s="4">
        <f t="shared" si="230"/>
        <v>1.0000717825373</v>
      </c>
      <c r="AB261" s="4">
        <f t="shared" si="231"/>
        <v>0.0157029721262458</v>
      </c>
      <c r="AC261" s="67" t="str">
        <f t="shared" si="232"/>
        <v>-0,310379573298105-3,09246339068677i</v>
      </c>
      <c r="AD261" s="68">
        <f t="shared" si="233"/>
        <v>9.84962078806756</v>
      </c>
      <c r="AE261" s="31">
        <f t="shared" si="234"/>
        <v>-95.7313805579175</v>
      </c>
      <c r="AF261" s="32" t="str">
        <f t="shared" si="235"/>
        <v>75,4669735059805</v>
      </c>
      <c r="AG261" s="32" t="str">
        <f t="shared" si="217"/>
        <v>1+3,17088973758677i</v>
      </c>
      <c r="AH261" s="32">
        <f t="shared" si="236"/>
        <v>3.32483709795429</v>
      </c>
      <c r="AI261" s="32">
        <f t="shared" si="237"/>
        <v>1.26529994004015</v>
      </c>
      <c r="AJ261" s="32" t="str">
        <f t="shared" si="218"/>
        <v>1+0,00338228238675922i</v>
      </c>
      <c r="AK261" s="32">
        <f t="shared" si="238"/>
        <v>1.00000571990071</v>
      </c>
      <c r="AL261" s="32">
        <f t="shared" si="239"/>
        <v>0.00338226948926457</v>
      </c>
      <c r="AM261" s="32" t="str">
        <f t="shared" si="219"/>
        <v>1-0,0378150666794692i</v>
      </c>
      <c r="AN261" s="32">
        <f t="shared" si="240"/>
        <v>1.00071473421149</v>
      </c>
      <c r="AO261" s="32">
        <f t="shared" si="241"/>
        <v>-0.0377970572083917</v>
      </c>
      <c r="AP261" s="30" t="str">
        <f t="shared" si="242"/>
        <v>6,08229178012103-21,8848146065492i</v>
      </c>
      <c r="AQ261" s="32">
        <f t="shared" si="243"/>
        <v>27.1259868052705</v>
      </c>
      <c r="AR261" s="31">
        <f t="shared" si="244"/>
        <v>-74.4681684716014</v>
      </c>
      <c r="AS261" t="str">
        <f t="shared" si="220"/>
        <v>-0,000338461538461538</v>
      </c>
      <c r="AT261" t="str">
        <f t="shared" si="221"/>
        <v>0,00296041030465874i</v>
      </c>
      <c r="AU261">
        <f t="shared" si="245"/>
        <v>0.00296041030465874</v>
      </c>
      <c r="AV261">
        <f t="shared" si="246"/>
        <v>1.5707963267949</v>
      </c>
      <c r="AW261" t="str">
        <f t="shared" si="222"/>
        <v>1+0,480463633051778i</v>
      </c>
      <c r="AX261">
        <f t="shared" si="247"/>
        <v>1.10943467706995</v>
      </c>
      <c r="AY261">
        <f t="shared" si="248"/>
        <v>0.447896721895765</v>
      </c>
      <c r="AZ261" t="str">
        <f t="shared" si="223"/>
        <v>1+4,19403015958143i</v>
      </c>
      <c r="BA261">
        <f t="shared" si="249"/>
        <v>4.31159935284792</v>
      </c>
      <c r="BB261">
        <f t="shared" si="250"/>
        <v>1.33673244414083</v>
      </c>
      <c r="BC261" s="30" t="str">
        <f t="shared" si="251"/>
        <v>-0,344941265883266+0,280061000225109i</v>
      </c>
      <c r="BD261" s="32">
        <f t="shared" si="252"/>
        <v>-7.04611842571354</v>
      </c>
      <c r="BE261" s="31">
        <f t="shared" si="253"/>
        <v>140.926535565104</v>
      </c>
      <c r="BF261" s="30" t="str">
        <f t="shared" si="254"/>
        <v>0,973141113273025+0,979793022933842i</v>
      </c>
      <c r="BG261" s="68">
        <f t="shared" si="255"/>
        <v>2.80350236235403</v>
      </c>
      <c r="BH261" s="31">
        <f t="shared" si="256"/>
        <v>45.1951550071869</v>
      </c>
      <c r="BI261" s="30" t="str">
        <f t="shared" si="263"/>
        <v>4,03104964234491+9,25238837360533i</v>
      </c>
      <c r="BJ261" s="68">
        <f t="shared" si="257"/>
        <v>20.0798683795569</v>
      </c>
      <c r="BK261" s="31">
        <f t="shared" si="264"/>
        <v>66.458367093503</v>
      </c>
      <c r="BL261" s="32">
        <f t="shared" si="258"/>
        <v>2.80350236235403</v>
      </c>
      <c r="BM261" s="31">
        <f t="shared" si="259"/>
        <v>45.1951550071869</v>
      </c>
      <c r="BO261">
        <f t="shared" si="260"/>
        <v>0</v>
      </c>
      <c r="BP261">
        <f t="shared" si="261"/>
        <v>0</v>
      </c>
    </row>
    <row r="262" spans="14:68">
      <c r="N262" s="7">
        <v>44</v>
      </c>
      <c r="O262" s="18">
        <f t="shared" si="262"/>
        <v>2754.22870333817</v>
      </c>
      <c r="P262" s="86" t="str">
        <f t="shared" si="212"/>
        <v>15</v>
      </c>
      <c r="Q262" s="4" t="str">
        <f t="shared" si="213"/>
        <v>1+5,04738771874945i</v>
      </c>
      <c r="R262" s="4">
        <f t="shared" si="224"/>
        <v>5.14549538755821</v>
      </c>
      <c r="S262" s="4">
        <f t="shared" si="225"/>
        <v>1.37520691010655</v>
      </c>
      <c r="T262" s="4" t="str">
        <f t="shared" si="214"/>
        <v>1+0,00346106586428534i</v>
      </c>
      <c r="U262" s="4">
        <f t="shared" si="226"/>
        <v>1.00000598947052</v>
      </c>
      <c r="V262" s="4">
        <f t="shared" si="227"/>
        <v>0.0034610520443753</v>
      </c>
      <c r="W262" t="str">
        <f t="shared" si="215"/>
        <v>1-0,302843263124968i</v>
      </c>
      <c r="X262" s="4">
        <f t="shared" si="228"/>
        <v>1.04485120568442</v>
      </c>
      <c r="Y262" s="4">
        <f t="shared" si="229"/>
        <v>-0.294063247172413</v>
      </c>
      <c r="Z262" t="str">
        <f t="shared" si="216"/>
        <v>0,999946056705776+0,0160692343698962i</v>
      </c>
      <c r="AA262" s="4">
        <f t="shared" si="230"/>
        <v>1.00007516548241</v>
      </c>
      <c r="AB262" s="4">
        <f t="shared" si="231"/>
        <v>0.0160687181004125</v>
      </c>
      <c r="AC262" s="67" t="str">
        <f t="shared" si="232"/>
        <v>-0,337626629468163-3,02693812033396i</v>
      </c>
      <c r="AD262" s="68">
        <f t="shared" si="233"/>
        <v>9.67376944955672</v>
      </c>
      <c r="AE262" s="31">
        <f t="shared" si="234"/>
        <v>-96.3645009337451</v>
      </c>
      <c r="AF262" s="32" t="str">
        <f t="shared" si="235"/>
        <v>75,4669735059805</v>
      </c>
      <c r="AG262" s="32" t="str">
        <f t="shared" si="217"/>
        <v>1+3,24474924776751i</v>
      </c>
      <c r="AH262" s="32">
        <f t="shared" si="236"/>
        <v>3.39534941955726</v>
      </c>
      <c r="AI262" s="32">
        <f t="shared" si="237"/>
        <v>1.27184260490888</v>
      </c>
      <c r="AJ262" s="32" t="str">
        <f t="shared" si="218"/>
        <v>1+0,00346106586428534i</v>
      </c>
      <c r="AK262" s="32">
        <f t="shared" si="238"/>
        <v>1.00000598947052</v>
      </c>
      <c r="AL262" s="32">
        <f t="shared" si="239"/>
        <v>0.0034610520443753</v>
      </c>
      <c r="AM262" s="32" t="str">
        <f t="shared" si="219"/>
        <v>1-0,0386958927357304i</v>
      </c>
      <c r="AN262" s="32">
        <f t="shared" si="240"/>
        <v>1.00074840600154</v>
      </c>
      <c r="AO262" s="32">
        <f t="shared" si="241"/>
        <v>-0.0386765960191409</v>
      </c>
      <c r="AP262" s="30" t="str">
        <f t="shared" si="242"/>
        <v>5,7986444427174-21,4742129395737i</v>
      </c>
      <c r="AQ262" s="32">
        <f t="shared" si="243"/>
        <v>26.9439993422423</v>
      </c>
      <c r="AR262" s="31">
        <f t="shared" si="244"/>
        <v>-74.8889155092151</v>
      </c>
      <c r="AS262" t="str">
        <f t="shared" si="220"/>
        <v>-0,000338461538461538</v>
      </c>
      <c r="AT262" t="str">
        <f t="shared" si="221"/>
        <v>0,00302936711903302i</v>
      </c>
      <c r="AU262">
        <f t="shared" si="245"/>
        <v>0.00302936711903302</v>
      </c>
      <c r="AV262">
        <f t="shared" si="246"/>
        <v>1.5707963267949</v>
      </c>
      <c r="AW262" t="str">
        <f t="shared" si="222"/>
        <v>1+0,491655068747637i</v>
      </c>
      <c r="AX262">
        <f t="shared" si="247"/>
        <v>1.11432701960656</v>
      </c>
      <c r="AY262">
        <f t="shared" si="248"/>
        <v>0.456949405420688</v>
      </c>
      <c r="AZ262" t="str">
        <f t="shared" si="223"/>
        <v>1+4,29172167171382i</v>
      </c>
      <c r="BA262">
        <f t="shared" si="249"/>
        <v>4.40668525168954</v>
      </c>
      <c r="BB262">
        <f t="shared" si="250"/>
        <v>1.34187416286954</v>
      </c>
      <c r="BC262" s="30" t="str">
        <f t="shared" si="251"/>
        <v>-0,341919053836529+0,279833050519465i</v>
      </c>
      <c r="BD262" s="32">
        <f t="shared" si="252"/>
        <v>-7.09486424390197</v>
      </c>
      <c r="BE262" s="31">
        <f t="shared" si="253"/>
        <v>140.702453788457</v>
      </c>
      <c r="BF262" s="30" t="str">
        <f t="shared" si="254"/>
        <v>0,962478305644478+0,940488728465628i</v>
      </c>
      <c r="BG262" s="68">
        <f t="shared" si="255"/>
        <v>2.57890520565476</v>
      </c>
      <c r="BH262" s="31">
        <f t="shared" si="256"/>
        <v>44.3379528547123</v>
      </c>
      <c r="BI262" s="30" t="str">
        <f t="shared" si="263"/>
        <v>4,0265274929971+8,96509493346654i</v>
      </c>
      <c r="BJ262" s="68">
        <f t="shared" si="257"/>
        <v>19.8491350983403</v>
      </c>
      <c r="BK262" s="31">
        <f t="shared" si="264"/>
        <v>65.8135382792423</v>
      </c>
      <c r="BL262" s="32">
        <f t="shared" si="258"/>
        <v>2.57890520565476</v>
      </c>
      <c r="BM262" s="31">
        <f t="shared" si="259"/>
        <v>44.3379528547123</v>
      </c>
      <c r="BO262">
        <f t="shared" si="260"/>
        <v>0</v>
      </c>
      <c r="BP262">
        <f t="shared" si="261"/>
        <v>0</v>
      </c>
    </row>
    <row r="263" spans="14:68">
      <c r="N263" s="7">
        <v>45</v>
      </c>
      <c r="O263" s="18">
        <f t="shared" si="262"/>
        <v>2818.38293126446</v>
      </c>
      <c r="P263" s="86" t="str">
        <f t="shared" si="212"/>
        <v>15</v>
      </c>
      <c r="Q263" s="4" t="str">
        <f t="shared" si="213"/>
        <v>1+5,16495648192026i</v>
      </c>
      <c r="R263" s="4">
        <f t="shared" si="224"/>
        <v>5.26087211972788</v>
      </c>
      <c r="S263" s="4">
        <f t="shared" si="225"/>
        <v>1.37955009558304</v>
      </c>
      <c r="T263" s="4" t="str">
        <f t="shared" si="214"/>
        <v>1+0,00354168444474532i</v>
      </c>
      <c r="U263" s="4">
        <f t="shared" si="226"/>
        <v>1.00000627174469</v>
      </c>
      <c r="V263" s="4">
        <f t="shared" si="227"/>
        <v>0.00354166963644994</v>
      </c>
      <c r="W263" t="str">
        <f t="shared" si="215"/>
        <v>1-0,309897388915216i</v>
      </c>
      <c r="X263" s="4">
        <f t="shared" si="228"/>
        <v>1.04691756679142</v>
      </c>
      <c r="Y263" s="4">
        <f t="shared" si="229"/>
        <v>-0.300512052614787</v>
      </c>
      <c r="Z263" t="str">
        <f t="shared" si="216"/>
        <v>0,999943514436642+0,0164435349220318i</v>
      </c>
      <c r="AA263" s="4">
        <f t="shared" si="230"/>
        <v>1.00007870785485</v>
      </c>
      <c r="AB263" s="4">
        <f t="shared" si="231"/>
        <v>0.0164429817311925</v>
      </c>
      <c r="AC263" s="67" t="str">
        <f t="shared" si="232"/>
        <v>-0,363737515414129-2,96254918215392i</v>
      </c>
      <c r="AD263" s="68">
        <f t="shared" si="233"/>
        <v>9.49829087473617</v>
      </c>
      <c r="AE263" s="31">
        <f t="shared" si="234"/>
        <v>-96.9996611446281</v>
      </c>
      <c r="AF263" s="32" t="str">
        <f t="shared" si="235"/>
        <v>75,4669735059805</v>
      </c>
      <c r="AG263" s="32" t="str">
        <f t="shared" si="217"/>
        <v>1+3,32032916694874i</v>
      </c>
      <c r="AH263" s="32">
        <f t="shared" si="236"/>
        <v>3.46764845059163</v>
      </c>
      <c r="AI263" s="32">
        <f t="shared" si="237"/>
        <v>1.2782619373732</v>
      </c>
      <c r="AJ263" s="32" t="str">
        <f t="shared" si="218"/>
        <v>1+0,00354168444474532i</v>
      </c>
      <c r="AK263" s="32">
        <f t="shared" si="238"/>
        <v>1.00000627174469</v>
      </c>
      <c r="AL263" s="32">
        <f t="shared" si="239"/>
        <v>0.00354166963644994</v>
      </c>
      <c r="AM263" s="32" t="str">
        <f t="shared" si="219"/>
        <v>1-0,0395972358665207i</v>
      </c>
      <c r="AN263" s="32">
        <f t="shared" si="240"/>
        <v>1.00078366347991</v>
      </c>
      <c r="AO263" s="32">
        <f t="shared" si="241"/>
        <v>-0.0395765599365231</v>
      </c>
      <c r="AP263" s="30" t="str">
        <f t="shared" si="242"/>
        <v>5,52558994796766-21,0677808127264i</v>
      </c>
      <c r="AQ263" s="32">
        <f t="shared" si="243"/>
        <v>26.7612960488186</v>
      </c>
      <c r="AR263" s="31">
        <f t="shared" si="244"/>
        <v>-75.3036612531111</v>
      </c>
      <c r="AS263" t="str">
        <f t="shared" si="220"/>
        <v>-0,000338461538461538</v>
      </c>
      <c r="AT263" t="str">
        <f t="shared" si="221"/>
        <v>0,00309993014395223i</v>
      </c>
      <c r="AU263">
        <f t="shared" si="245"/>
        <v>0.00309993014395223</v>
      </c>
      <c r="AV263">
        <f t="shared" si="246"/>
        <v>1.5707963267949</v>
      </c>
      <c r="AW263" t="str">
        <f t="shared" si="222"/>
        <v>1+0,50310718646877i</v>
      </c>
      <c r="AX263">
        <f t="shared" si="247"/>
        <v>1.11942701462691</v>
      </c>
      <c r="AY263">
        <f t="shared" si="248"/>
        <v>0.466130267435693</v>
      </c>
      <c r="AZ263" t="str">
        <f t="shared" si="223"/>
        <v>1+4,3916887114842i</v>
      </c>
      <c r="BA263">
        <f t="shared" si="249"/>
        <v>4.50410143520078</v>
      </c>
      <c r="BB263">
        <f t="shared" si="250"/>
        <v>1.34691077461021</v>
      </c>
      <c r="BC263" s="30" t="str">
        <f t="shared" si="251"/>
        <v>-0,338810654280255+0,279641676825887i</v>
      </c>
      <c r="BD263" s="32">
        <f t="shared" si="252"/>
        <v>-7.14460407706591</v>
      </c>
      <c r="BE263" s="31">
        <f t="shared" si="253"/>
        <v>140.465005738492</v>
      </c>
      <c r="BF263" s="30" t="str">
        <f t="shared" si="254"/>
        <v>0,951690366560418+0,902027058008115i</v>
      </c>
      <c r="BG263" s="68">
        <f t="shared" si="255"/>
        <v>2.35368679767025</v>
      </c>
      <c r="BH263" s="31">
        <f t="shared" si="256"/>
        <v>43.4653445938635</v>
      </c>
      <c r="BI263" s="30" t="str">
        <f t="shared" si="263"/>
        <v>4,01930080791574+8,68317383989478i</v>
      </c>
      <c r="BJ263" s="68">
        <f t="shared" si="257"/>
        <v>19.6166919717527</v>
      </c>
      <c r="BK263" s="31">
        <f t="shared" si="264"/>
        <v>65.1613444853805</v>
      </c>
      <c r="BL263" s="32">
        <f t="shared" si="258"/>
        <v>2.35368679767025</v>
      </c>
      <c r="BM263" s="31">
        <f t="shared" si="259"/>
        <v>43.4653445938635</v>
      </c>
      <c r="BO263">
        <f t="shared" si="260"/>
        <v>0</v>
      </c>
      <c r="BP263">
        <f t="shared" si="261"/>
        <v>0</v>
      </c>
    </row>
    <row r="264" spans="14:68">
      <c r="N264" s="7">
        <v>46</v>
      </c>
      <c r="O264" s="18">
        <f t="shared" si="262"/>
        <v>2884.03150312661</v>
      </c>
      <c r="P264" s="86" t="str">
        <f t="shared" si="212"/>
        <v>15</v>
      </c>
      <c r="Q264" s="4" t="str">
        <f t="shared" si="213"/>
        <v>1+5,28526377338406i</v>
      </c>
      <c r="R264" s="4">
        <f t="shared" si="224"/>
        <v>5.37903459314457</v>
      </c>
      <c r="S264" s="4">
        <f t="shared" si="225"/>
        <v>1.3838014878204</v>
      </c>
      <c r="T264" s="4" t="str">
        <f t="shared" si="214"/>
        <v>1+0,00362418087317764i</v>
      </c>
      <c r="U264" s="4">
        <f t="shared" si="226"/>
        <v>1.00000656732194</v>
      </c>
      <c r="V264" s="4">
        <f t="shared" si="227"/>
        <v>0.00362416500580889</v>
      </c>
      <c r="W264" t="str">
        <f t="shared" si="215"/>
        <v>1-0,317115826403044i</v>
      </c>
      <c r="X264" s="4">
        <f t="shared" si="228"/>
        <v>1.04907695015918</v>
      </c>
      <c r="Y264" s="4">
        <f t="shared" si="229"/>
        <v>-0.307084490560568</v>
      </c>
      <c r="Z264" t="str">
        <f t="shared" si="216"/>
        <v>0,999940852354055+0,016826554054039i</v>
      </c>
      <c r="AA264" s="4">
        <f t="shared" si="230"/>
        <v>1.00008241716765</v>
      </c>
      <c r="AB264" s="4">
        <f t="shared" si="231"/>
        <v>0.0168259613014836</v>
      </c>
      <c r="AC264" s="67" t="str">
        <f t="shared" si="232"/>
        <v>-0,388755780789199-2,89929147436274i</v>
      </c>
      <c r="AD264" s="68">
        <f t="shared" si="233"/>
        <v>9.32322654160197</v>
      </c>
      <c r="AE264" s="31">
        <f t="shared" si="234"/>
        <v>-97.637037408812</v>
      </c>
      <c r="AF264" s="32" t="str">
        <f t="shared" si="235"/>
        <v>75,4669735059805</v>
      </c>
      <c r="AG264" s="32" t="str">
        <f t="shared" si="217"/>
        <v>1+3,39766956860404i</v>
      </c>
      <c r="AH264" s="32">
        <f t="shared" si="236"/>
        <v>3.5417733548913</v>
      </c>
      <c r="AI264" s="32">
        <f t="shared" si="237"/>
        <v>1.28455922405464</v>
      </c>
      <c r="AJ264" s="32" t="str">
        <f t="shared" si="218"/>
        <v>1+0,00362418087317764i</v>
      </c>
      <c r="AK264" s="32">
        <f t="shared" si="238"/>
        <v>1.00000656732194</v>
      </c>
      <c r="AL264" s="32">
        <f t="shared" si="239"/>
        <v>0.00362416500580889</v>
      </c>
      <c r="AM264" s="32" t="str">
        <f t="shared" si="219"/>
        <v>1-0,0405195739758987i</v>
      </c>
      <c r="AN264" s="32">
        <f t="shared" si="240"/>
        <v>1.00082058126079</v>
      </c>
      <c r="AO264" s="32">
        <f t="shared" si="241"/>
        <v>-0.0404974202986947</v>
      </c>
      <c r="AP264" s="30" t="str">
        <f t="shared" si="242"/>
        <v>5,2628193638397-20,665704851354i</v>
      </c>
      <c r="AQ264" s="32">
        <f t="shared" si="243"/>
        <v>26.5779049425843</v>
      </c>
      <c r="AR264" s="31">
        <f t="shared" si="244"/>
        <v>-75.7125039781215</v>
      </c>
      <c r="AS264" t="str">
        <f t="shared" si="220"/>
        <v>-0,000338461538461538</v>
      </c>
      <c r="AT264" t="str">
        <f t="shared" si="221"/>
        <v>0,00317213679286619i</v>
      </c>
      <c r="AU264">
        <f t="shared" si="245"/>
        <v>0.00317213679286619</v>
      </c>
      <c r="AV264">
        <f t="shared" si="246"/>
        <v>1.5707963267949</v>
      </c>
      <c r="AW264" t="str">
        <f t="shared" si="222"/>
        <v>1+0,514826058279579i</v>
      </c>
      <c r="AX264">
        <f t="shared" si="247"/>
        <v>1.12474257956374</v>
      </c>
      <c r="AY264">
        <f t="shared" si="248"/>
        <v>0.475437984100291</v>
      </c>
      <c r="AZ264" t="str">
        <f t="shared" si="223"/>
        <v>1+4,49398428274027i</v>
      </c>
      <c r="BA264">
        <f t="shared" si="249"/>
        <v>4.6038999482522</v>
      </c>
      <c r="BB264">
        <f t="shared" si="250"/>
        <v>1.35184392725528</v>
      </c>
      <c r="BC264" s="30" t="str">
        <f t="shared" si="251"/>
        <v>-0,33561576444618+0,279482020708476i</v>
      </c>
      <c r="BD264" s="32">
        <f t="shared" si="252"/>
        <v>-7.19539685359291</v>
      </c>
      <c r="BE264" s="31">
        <f t="shared" si="253"/>
        <v>140.214361682963</v>
      </c>
      <c r="BF264" s="30" t="str">
        <f t="shared" si="254"/>
        <v>0,940772408430194+0,864397673343477i</v>
      </c>
      <c r="BG264" s="68">
        <f t="shared" si="255"/>
        <v>2.12782968800907</v>
      </c>
      <c r="BH264" s="31">
        <f t="shared" si="256"/>
        <v>42.577324274151</v>
      </c>
      <c r="BI264" s="30" t="str">
        <f t="shared" si="263"/>
        <v>4,00940780728415+8,40659972193592i</v>
      </c>
      <c r="BJ264" s="68">
        <f t="shared" si="257"/>
        <v>19.3825080889914</v>
      </c>
      <c r="BK264" s="31">
        <f t="shared" si="264"/>
        <v>64.5018577048416</v>
      </c>
      <c r="BL264" s="32">
        <f t="shared" si="258"/>
        <v>2.12782968800907</v>
      </c>
      <c r="BM264" s="31">
        <f t="shared" si="259"/>
        <v>42.577324274151</v>
      </c>
      <c r="BO264">
        <f t="shared" si="260"/>
        <v>0</v>
      </c>
      <c r="BP264">
        <f t="shared" si="261"/>
        <v>0</v>
      </c>
    </row>
    <row r="265" spans="14:68">
      <c r="N265" s="7">
        <v>47</v>
      </c>
      <c r="O265" s="18">
        <f t="shared" si="262"/>
        <v>2951.20922666639</v>
      </c>
      <c r="P265" s="86" t="str">
        <f t="shared" si="212"/>
        <v>15</v>
      </c>
      <c r="Q265" s="4" t="str">
        <f t="shared" si="213"/>
        <v>1+5,40837338165924i</v>
      </c>
      <c r="R265" s="4">
        <f t="shared" si="224"/>
        <v>5.50004569394112</v>
      </c>
      <c r="S265" s="4">
        <f t="shared" si="225"/>
        <v>1.38796272593677</v>
      </c>
      <c r="T265" s="4" t="str">
        <f t="shared" si="214"/>
        <v>1+0,00370859889028062i</v>
      </c>
      <c r="U265" s="4">
        <f t="shared" si="226"/>
        <v>1.00000687682922</v>
      </c>
      <c r="V265" s="4">
        <f t="shared" si="227"/>
        <v>0.00370858188809499</v>
      </c>
      <c r="W265" t="str">
        <f t="shared" si="215"/>
        <v>1-0,324502402899555i</v>
      </c>
      <c r="X265" s="4">
        <f t="shared" si="228"/>
        <v>1.05133334841409</v>
      </c>
      <c r="Y265" s="4">
        <f t="shared" si="229"/>
        <v>-0.313781773715711</v>
      </c>
      <c r="Z265" t="str">
        <f t="shared" si="216"/>
        <v>0,999938064811381+0,0172184948477314i</v>
      </c>
      <c r="AA265" s="4">
        <f t="shared" si="230"/>
        <v>1.00008630128782</v>
      </c>
      <c r="AB265" s="4">
        <f t="shared" si="231"/>
        <v>0.0172178597042908</v>
      </c>
      <c r="AC265" s="67" t="str">
        <f t="shared" si="232"/>
        <v>-0,412723626838818-2,83715878704232i</v>
      </c>
      <c r="AD265" s="68">
        <f t="shared" si="233"/>
        <v>9.14861819936545</v>
      </c>
      <c r="AE265" s="31">
        <f t="shared" si="234"/>
        <v>-98.276802242827</v>
      </c>
      <c r="AF265" s="32" t="str">
        <f t="shared" si="235"/>
        <v>75,4669735059805</v>
      </c>
      <c r="AG265" s="32" t="str">
        <f t="shared" si="217"/>
        <v>1+3,47681145963808i</v>
      </c>
      <c r="AH265" s="32">
        <f t="shared" si="236"/>
        <v>3.61776421645616</v>
      </c>
      <c r="AI265" s="32">
        <f t="shared" si="237"/>
        <v>1.29073580531412</v>
      </c>
      <c r="AJ265" s="32" t="str">
        <f t="shared" si="218"/>
        <v>1+0,00370859889028062i</v>
      </c>
      <c r="AK265" s="32">
        <f t="shared" si="238"/>
        <v>1.00000687682922</v>
      </c>
      <c r="AL265" s="32">
        <f t="shared" si="239"/>
        <v>0.00370858188809499</v>
      </c>
      <c r="AM265" s="32" t="str">
        <f t="shared" si="219"/>
        <v>1-0,0414633960997387i</v>
      </c>
      <c r="AN265" s="32">
        <f t="shared" si="240"/>
        <v>1.00085923746355</v>
      </c>
      <c r="AO265" s="32">
        <f t="shared" si="241"/>
        <v>-0.0414396591074492</v>
      </c>
      <c r="AP265" s="30" t="str">
        <f t="shared" si="242"/>
        <v>5,0100256014956-20,2681547050899i</v>
      </c>
      <c r="AQ265" s="32">
        <f t="shared" si="243"/>
        <v>26.3938532639487</v>
      </c>
      <c r="AR265" s="31">
        <f t="shared" si="244"/>
        <v>-76.1155455920698</v>
      </c>
      <c r="AS265" t="str">
        <f t="shared" si="220"/>
        <v>-0,000338461538461538</v>
      </c>
      <c r="AT265" t="str">
        <f t="shared" si="221"/>
        <v>0,00324602535069591i</v>
      </c>
      <c r="AU265">
        <f t="shared" si="245"/>
        <v>0.00324602535069591</v>
      </c>
      <c r="AV265">
        <f t="shared" si="246"/>
        <v>1.5707963267949</v>
      </c>
      <c r="AW265" t="str">
        <f t="shared" si="222"/>
        <v>1+0,526817897681015i</v>
      </c>
      <c r="AX265">
        <f t="shared" si="247"/>
        <v>1.13028186631346</v>
      </c>
      <c r="AY265">
        <f t="shared" si="248"/>
        <v>0.484871038691315</v>
      </c>
      <c r="AZ265" t="str">
        <f t="shared" si="223"/>
        <v>1+4,59866262394797i</v>
      </c>
      <c r="BA265">
        <f t="shared" si="249"/>
        <v>4.70613407468338</v>
      </c>
      <c r="BB265">
        <f t="shared" si="250"/>
        <v>1.35667527556736</v>
      </c>
      <c r="BC265" s="30" t="str">
        <f t="shared" si="251"/>
        <v>-0,332334252920235+0,279349162690011i</v>
      </c>
      <c r="BD265" s="32">
        <f t="shared" si="252"/>
        <v>-7.24730094659062</v>
      </c>
      <c r="BE265" s="31">
        <f t="shared" si="253"/>
        <v>139.950703334621</v>
      </c>
      <c r="BF265" s="30" t="str">
        <f t="shared" si="254"/>
        <v>0,929720129766888+0,827591046327981i</v>
      </c>
      <c r="BG265" s="68">
        <f t="shared" si="255"/>
        <v>1.90131725277483</v>
      </c>
      <c r="BH265" s="31">
        <f t="shared" si="256"/>
        <v>41.6739010917936</v>
      </c>
      <c r="BI265" s="30" t="str">
        <f t="shared" si="263"/>
        <v>3,99688893075418+8,13534850882111i</v>
      </c>
      <c r="BJ265" s="68">
        <f t="shared" si="257"/>
        <v>19.146552317358</v>
      </c>
      <c r="BK265" s="31">
        <f t="shared" si="264"/>
        <v>63.8351577425508</v>
      </c>
      <c r="BL265" s="32">
        <f t="shared" si="258"/>
        <v>1.90131725277483</v>
      </c>
      <c r="BM265" s="31">
        <f t="shared" si="259"/>
        <v>41.6739010917936</v>
      </c>
      <c r="BO265">
        <f t="shared" si="260"/>
        <v>0</v>
      </c>
      <c r="BP265">
        <f t="shared" si="261"/>
        <v>0</v>
      </c>
    </row>
    <row r="266" spans="14:68">
      <c r="N266" s="7">
        <v>48</v>
      </c>
      <c r="O266" s="18">
        <f t="shared" si="262"/>
        <v>3019.95172040202</v>
      </c>
      <c r="P266" s="86" t="str">
        <f t="shared" si="212"/>
        <v>15</v>
      </c>
      <c r="Q266" s="4" t="str">
        <f t="shared" si="213"/>
        <v>1+5,53435058108966i</v>
      </c>
      <c r="R266" s="4">
        <f t="shared" si="224"/>
        <v>5.62396980383141</v>
      </c>
      <c r="S266" s="4">
        <f t="shared" si="225"/>
        <v>1.39203543954971</v>
      </c>
      <c r="T266" s="4" t="str">
        <f t="shared" si="214"/>
        <v>1+0,00379498325560434i</v>
      </c>
      <c r="U266" s="4">
        <f t="shared" si="226"/>
        <v>1.00000720092303</v>
      </c>
      <c r="V266" s="4">
        <f t="shared" si="227"/>
        <v>0.00379496503744129</v>
      </c>
      <c r="W266" t="str">
        <f t="shared" si="215"/>
        <v>1-0,33206103486538i</v>
      </c>
      <c r="X266" s="4">
        <f t="shared" si="228"/>
        <v>1.05369090860454</v>
      </c>
      <c r="Y266" s="4">
        <f t="shared" si="229"/>
        <v>-0.320605049048921</v>
      </c>
      <c r="Z266" t="str">
        <f t="shared" si="216"/>
        <v>0,999935145895868+0,0176195651153058i</v>
      </c>
      <c r="AA266" s="4">
        <f t="shared" si="230"/>
        <v>1.00009036845309</v>
      </c>
      <c r="AB266" s="4">
        <f t="shared" si="231"/>
        <v>0.017618884549502</v>
      </c>
      <c r="AC266" s="67" t="str">
        <f t="shared" si="232"/>
        <v>-0,435681919435397-2,77614388971183i</v>
      </c>
      <c r="AD266" s="68">
        <f t="shared" si="233"/>
        <v>8.97450788645508</v>
      </c>
      <c r="AE266" s="31">
        <f t="shared" si="234"/>
        <v>-98.9191240642944</v>
      </c>
      <c r="AF266" s="32" t="str">
        <f t="shared" si="235"/>
        <v>75,4669735059805</v>
      </c>
      <c r="AG266" s="32" t="str">
        <f t="shared" si="217"/>
        <v>1+3,55779680212907i</v>
      </c>
      <c r="AH266" s="32">
        <f t="shared" si="236"/>
        <v>3.69566206318162</v>
      </c>
      <c r="AI266" s="32">
        <f t="shared" si="237"/>
        <v>1.29679307023332</v>
      </c>
      <c r="AJ266" s="32" t="str">
        <f t="shared" si="218"/>
        <v>1+0,00379498325560434i</v>
      </c>
      <c r="AK266" s="32">
        <f t="shared" si="238"/>
        <v>1.00000720092303</v>
      </c>
      <c r="AL266" s="32">
        <f t="shared" si="239"/>
        <v>0.00379496503744129</v>
      </c>
      <c r="AM266" s="32" t="str">
        <f t="shared" si="219"/>
        <v>1-0,0424292026650238i</v>
      </c>
      <c r="AN266" s="32">
        <f t="shared" si="240"/>
        <v>1.00089971387686</v>
      </c>
      <c r="AO266" s="32">
        <f t="shared" si="241"/>
        <v>-0.0424037692541976</v>
      </c>
      <c r="AP266" s="30" t="str">
        <f t="shared" si="242"/>
        <v>4,76690409248428-19,8752837488915i</v>
      </c>
      <c r="AQ266" s="32">
        <f t="shared" si="243"/>
        <v>26.2091674832983</v>
      </c>
      <c r="AR266" s="31">
        <f t="shared" si="244"/>
        <v>-76.5128913598485</v>
      </c>
      <c r="AS266" t="str">
        <f t="shared" si="220"/>
        <v>-0,000338461538461538</v>
      </c>
      <c r="AT266" t="str">
        <f t="shared" si="221"/>
        <v>0,00332163499413281i</v>
      </c>
      <c r="AU266">
        <f t="shared" si="245"/>
        <v>0.00332163499413281</v>
      </c>
      <c r="AV266">
        <f t="shared" si="246"/>
        <v>1.5707963267949</v>
      </c>
      <c r="AW266" t="str">
        <f t="shared" si="222"/>
        <v>1+0,539089062905062i</v>
      </c>
      <c r="AX266">
        <f t="shared" si="247"/>
        <v>1.13605326360337</v>
      </c>
      <c r="AY266">
        <f t="shared" si="248"/>
        <v>0.494427716854577</v>
      </c>
      <c r="AZ266" t="str">
        <f t="shared" si="223"/>
        <v>1+4,70577923694938i</v>
      </c>
      <c r="BA266">
        <f t="shared" si="249"/>
        <v>4.81085836695531</v>
      </c>
      <c r="BB266">
        <f t="shared" si="250"/>
        <v>1.36140647859451</v>
      </c>
      <c r="BC266" s="30" t="str">
        <f t="shared" si="251"/>
        <v>-0,328966169651891+0,279238130086412i</v>
      </c>
      <c r="BD266" s="32">
        <f t="shared" si="252"/>
        <v>-7.30037410753933</v>
      </c>
      <c r="BE266" s="31">
        <f t="shared" si="253"/>
        <v>139.674223975177</v>
      </c>
      <c r="BF266" s="30" t="str">
        <f t="shared" si="254"/>
        <v>0,918529840837196+0,791598417305403i</v>
      </c>
      <c r="BG266" s="68">
        <f t="shared" si="255"/>
        <v>1.67413377891574</v>
      </c>
      <c r="BH266" s="31">
        <f t="shared" si="256"/>
        <v>40.7550999108821</v>
      </c>
      <c r="BI266" s="30" t="str">
        <f t="shared" si="263"/>
        <v>3,98178688857484+7,86939735070389i</v>
      </c>
      <c r="BJ266" s="68">
        <f t="shared" si="257"/>
        <v>18.9087933757589</v>
      </c>
      <c r="BK266" s="31">
        <f t="shared" si="264"/>
        <v>63.161332615328</v>
      </c>
      <c r="BL266" s="32">
        <f t="shared" si="258"/>
        <v>1.67413377891574</v>
      </c>
      <c r="BM266" s="31">
        <f t="shared" si="259"/>
        <v>40.7550999108821</v>
      </c>
      <c r="BO266">
        <f t="shared" si="260"/>
        <v>0</v>
      </c>
      <c r="BP266">
        <f t="shared" si="261"/>
        <v>0</v>
      </c>
    </row>
    <row r="267" spans="14:68">
      <c r="N267" s="7">
        <v>49</v>
      </c>
      <c r="O267" s="18">
        <f t="shared" si="262"/>
        <v>3090.29543251359</v>
      </c>
      <c r="P267" s="86" t="str">
        <f t="shared" si="212"/>
        <v>15</v>
      </c>
      <c r="Q267" s="4" t="str">
        <f t="shared" si="213"/>
        <v>1+5,66326216645396i</v>
      </c>
      <c r="R267" s="4">
        <f t="shared" si="224"/>
        <v>5.75087283514327</v>
      </c>
      <c r="S267" s="4">
        <f t="shared" si="225"/>
        <v>1.39602124736759</v>
      </c>
      <c r="T267" s="4" t="str">
        <f t="shared" si="214"/>
        <v>1+0,00388337977128272i</v>
      </c>
      <c r="U267" s="4">
        <f t="shared" si="226"/>
        <v>1.0000075402908</v>
      </c>
      <c r="V267" s="4">
        <f t="shared" si="227"/>
        <v>0.00388336025017726</v>
      </c>
      <c r="W267" t="str">
        <f t="shared" si="215"/>
        <v>1-0,339795729987238i</v>
      </c>
      <c r="X267" s="4">
        <f t="shared" si="228"/>
        <v>1.05615393675238</v>
      </c>
      <c r="Y267" s="4">
        <f t="shared" si="229"/>
        <v>-0.32755539210852</v>
      </c>
      <c r="Z267" t="str">
        <f t="shared" si="216"/>
        <v>0,999932089416105+0,0180299775095269i</v>
      </c>
      <c r="AA267" s="4">
        <f t="shared" si="230"/>
        <v>1.00009462728936</v>
      </c>
      <c r="AB267" s="4">
        <f t="shared" si="231"/>
        <v>0.0180292482731078</v>
      </c>
      <c r="AC267" s="67" t="str">
        <f t="shared" si="232"/>
        <v>-0,457670204957181-2,71623861454454i</v>
      </c>
      <c r="AD267" s="68">
        <f t="shared" si="233"/>
        <v>8.80093794604625</v>
      </c>
      <c r="AE267" s="31">
        <f t="shared" si="234"/>
        <v>-99.5641667905009</v>
      </c>
      <c r="AF267" s="32" t="str">
        <f t="shared" si="235"/>
        <v>75,4669735059805</v>
      </c>
      <c r="AG267" s="32" t="str">
        <f t="shared" si="217"/>
        <v>1+3,64066853557755i</v>
      </c>
      <c r="AH267" s="32">
        <f t="shared" si="236"/>
        <v>3.77550889098998</v>
      </c>
      <c r="AI267" s="32">
        <f t="shared" si="237"/>
        <v>1.30273245180864</v>
      </c>
      <c r="AJ267" s="32" t="str">
        <f t="shared" si="218"/>
        <v>1+0,00388337977128272i</v>
      </c>
      <c r="AK267" s="32">
        <f t="shared" si="238"/>
        <v>1.0000075402908</v>
      </c>
      <c r="AL267" s="32">
        <f t="shared" si="239"/>
        <v>0.00388336025017726</v>
      </c>
      <c r="AM267" s="32" t="str">
        <f t="shared" si="219"/>
        <v>1-0,0434175057551787i</v>
      </c>
      <c r="AN267" s="32">
        <f t="shared" si="240"/>
        <v>1.00094209613044</v>
      </c>
      <c r="AO267" s="32">
        <f t="shared" si="241"/>
        <v>-0.0433902547496283</v>
      </c>
      <c r="AP267" s="30" t="str">
        <f t="shared" si="242"/>
        <v>4,53315340027384-19,4872297895321i</v>
      </c>
      <c r="AQ267" s="32">
        <f t="shared" si="243"/>
        <v>26.0238733099046</v>
      </c>
      <c r="AR267" s="31">
        <f t="shared" si="244"/>
        <v>-76.9046496398522</v>
      </c>
      <c r="AS267" t="str">
        <f t="shared" si="220"/>
        <v>-0,000338461538461538</v>
      </c>
      <c r="AT267" t="str">
        <f t="shared" si="221"/>
        <v>0,00339900581241062i</v>
      </c>
      <c r="AU267">
        <f t="shared" si="245"/>
        <v>0.00339900581241062</v>
      </c>
      <c r="AV267">
        <f t="shared" si="246"/>
        <v>1.5707963267949</v>
      </c>
      <c r="AW267" t="str">
        <f t="shared" si="222"/>
        <v>1+0,551646060285949i</v>
      </c>
      <c r="AX267">
        <f t="shared" si="247"/>
        <v>1.14206539910331</v>
      </c>
      <c r="AY267">
        <f t="shared" si="248"/>
        <v>0.504106102346959</v>
      </c>
      <c r="AZ267" t="str">
        <f t="shared" si="223"/>
        <v>1+4,81539091639057i</v>
      </c>
      <c r="BA267">
        <f t="shared" si="249"/>
        <v>4.91812867640293</v>
      </c>
      <c r="BB267">
        <f t="shared" si="250"/>
        <v>1.36603919725472</v>
      </c>
      <c r="BC267" s="30" t="str">
        <f t="shared" si="251"/>
        <v>-0,325511755596995+0,279143905878202i</v>
      </c>
      <c r="BD267" s="32">
        <f t="shared" si="252"/>
        <v>-7.35467339551068</v>
      </c>
      <c r="BE267" s="31">
        <f t="shared" si="253"/>
        <v>139.385128560864</v>
      </c>
      <c r="BF267" s="30" t="str">
        <f t="shared" si="254"/>
        <v>0,907198488061207+0,756411751424918i</v>
      </c>
      <c r="BG267" s="68">
        <f t="shared" si="255"/>
        <v>1.44626455053557</v>
      </c>
      <c r="BH267" s="31">
        <f t="shared" si="256"/>
        <v>39.820961770363</v>
      </c>
      <c r="BI267" s="30" t="str">
        <f t="shared" si="263"/>
        <v>3,96414671648242+7,60872452661015i</v>
      </c>
      <c r="BJ267" s="68">
        <f t="shared" si="257"/>
        <v>18.6691999143939</v>
      </c>
      <c r="BK267" s="31">
        <f t="shared" si="264"/>
        <v>62.4804789210117</v>
      </c>
      <c r="BL267" s="32">
        <f t="shared" si="258"/>
        <v>1.44626455053557</v>
      </c>
      <c r="BM267" s="31">
        <f t="shared" si="259"/>
        <v>39.820961770363</v>
      </c>
      <c r="BO267">
        <f t="shared" si="260"/>
        <v>0</v>
      </c>
      <c r="BP267">
        <f t="shared" si="261"/>
        <v>0</v>
      </c>
    </row>
    <row r="268" spans="14:68">
      <c r="N268" s="7">
        <v>50</v>
      </c>
      <c r="O268" s="18">
        <f t="shared" si="262"/>
        <v>3162.27766016838</v>
      </c>
      <c r="P268" s="86" t="str">
        <f t="shared" si="212"/>
        <v>15</v>
      </c>
      <c r="Q268" s="4" t="str">
        <f t="shared" si="213"/>
        <v>1+5,79517648838106i</v>
      </c>
      <c r="R268" s="4">
        <f t="shared" si="224"/>
        <v>5.88082226661244</v>
      </c>
      <c r="S268" s="4">
        <f t="shared" si="225"/>
        <v>1.39992175589819</v>
      </c>
      <c r="T268" s="4" t="str">
        <f t="shared" si="214"/>
        <v>1+0,00397383530631844i</v>
      </c>
      <c r="U268" s="4">
        <f t="shared" si="226"/>
        <v>1.00000789565235</v>
      </c>
      <c r="V268" s="4">
        <f t="shared" si="227"/>
        <v>0.003973814389086</v>
      </c>
      <c r="W268" t="str">
        <f t="shared" si="215"/>
        <v>1-0,347710589302864i</v>
      </c>
      <c r="X268" s="4">
        <f t="shared" si="228"/>
        <v>1.0587269024226</v>
      </c>
      <c r="Y268" s="4">
        <f t="shared" si="229"/>
        <v>-0.334633801147761</v>
      </c>
      <c r="Z268" t="str">
        <f t="shared" si="216"/>
        <v>0,999928888888889+0,0184499496364784i</v>
      </c>
      <c r="AA268" s="4">
        <f t="shared" si="230"/>
        <v>1.00009908682898</v>
      </c>
      <c r="AB268" s="4">
        <f t="shared" si="231"/>
        <v>0.0184491682489188</v>
      </c>
      <c r="AC268" s="67" t="str">
        <f t="shared" si="232"/>
        <v>-0,478726728668143-2,6574339353206i</v>
      </c>
      <c r="AD268" s="68">
        <f t="shared" si="233"/>
        <v>8.62795103888903</v>
      </c>
      <c r="AE268" s="31">
        <f t="shared" si="234"/>
        <v>-100.212089432823</v>
      </c>
      <c r="AF268" s="32" t="str">
        <f t="shared" si="235"/>
        <v>75,4669735059805</v>
      </c>
      <c r="AG268" s="32" t="str">
        <f t="shared" si="217"/>
        <v>1+3,72547059967354i</v>
      </c>
      <c r="AH268" s="32">
        <f t="shared" si="236"/>
        <v>3.85734768837759</v>
      </c>
      <c r="AI268" s="32">
        <f t="shared" si="237"/>
        <v>1.30855542235868</v>
      </c>
      <c r="AJ268" s="32" t="str">
        <f t="shared" si="218"/>
        <v>1+0,00397383530631844i</v>
      </c>
      <c r="AK268" s="32">
        <f t="shared" si="238"/>
        <v>1.00000789565235</v>
      </c>
      <c r="AL268" s="32">
        <f t="shared" si="239"/>
        <v>0.003973814389086</v>
      </c>
      <c r="AM268" s="32" t="str">
        <f t="shared" si="219"/>
        <v>1-0,0444288293815836i</v>
      </c>
      <c r="AN268" s="32">
        <f t="shared" si="240"/>
        <v>1.00098647387476</v>
      </c>
      <c r="AO268" s="32">
        <f t="shared" si="241"/>
        <v>-0.0443996309570182</v>
      </c>
      <c r="AP268" s="30" t="str">
        <f t="shared" si="242"/>
        <v>4,30847576911284-19,1041157732984i</v>
      </c>
      <c r="AQ268" s="32">
        <f t="shared" si="243"/>
        <v>25.8379957024193</v>
      </c>
      <c r="AR268" s="31">
        <f t="shared" si="244"/>
        <v>-77.2909316328237</v>
      </c>
      <c r="AS268" t="str">
        <f t="shared" si="220"/>
        <v>-0,000338461538461538</v>
      </c>
      <c r="AT268" t="str">
        <f t="shared" si="221"/>
        <v>0,00347817882856134i</v>
      </c>
      <c r="AU268">
        <f t="shared" si="245"/>
        <v>0.00347817882856134</v>
      </c>
      <c r="AV268">
        <f t="shared" si="246"/>
        <v>1.5707963267949</v>
      </c>
      <c r="AW268" t="str">
        <f t="shared" si="222"/>
        <v>1+0,564495547709897i</v>
      </c>
      <c r="AX268">
        <f t="shared" si="247"/>
        <v>1.14832714127303</v>
      </c>
      <c r="AY268">
        <f t="shared" si="248"/>
        <v>0.513904073324395</v>
      </c>
      <c r="AZ268" t="str">
        <f t="shared" si="223"/>
        <v>1+4,92755577983486i</v>
      </c>
      <c r="BA268">
        <f t="shared" si="249"/>
        <v>5.02800218410692</v>
      </c>
      <c r="BB268">
        <f t="shared" si="250"/>
        <v>1.37057509208289</v>
      </c>
      <c r="BC268" s="30" t="str">
        <f t="shared" si="251"/>
        <v>-0,321971451889522+0,279061438619125i</v>
      </c>
      <c r="BD268" s="32">
        <f t="shared" si="252"/>
        <v>-7.41025510207859</v>
      </c>
      <c r="BE268" s="31">
        <f t="shared" si="253"/>
        <v>139.083633806034</v>
      </c>
      <c r="BF268" s="30" t="str">
        <f t="shared" si="254"/>
        <v>0,895723676913453+0,7220236928481i</v>
      </c>
      <c r="BG268" s="68">
        <f t="shared" si="255"/>
        <v>1.21769593681044</v>
      </c>
      <c r="BH268" s="31">
        <f t="shared" si="256"/>
        <v>38.8715443732108</v>
      </c>
      <c r="BI268" s="30" t="str">
        <f t="shared" si="263"/>
        <v>3,94401583243088+7,35330933897867i</v>
      </c>
      <c r="BJ268" s="68">
        <f t="shared" si="257"/>
        <v>18.4277406003407</v>
      </c>
      <c r="BK268" s="31">
        <f t="shared" si="264"/>
        <v>61.7927021732104</v>
      </c>
      <c r="BL268" s="32">
        <f t="shared" si="258"/>
        <v>1.21769593681044</v>
      </c>
      <c r="BM268" s="31">
        <f t="shared" si="259"/>
        <v>38.8715443732108</v>
      </c>
      <c r="BO268">
        <f t="shared" si="260"/>
        <v>0</v>
      </c>
      <c r="BP268">
        <f t="shared" si="261"/>
        <v>0</v>
      </c>
    </row>
    <row r="269" spans="14:68">
      <c r="N269" s="7">
        <v>51</v>
      </c>
      <c r="O269" s="18">
        <f t="shared" si="262"/>
        <v>3235.93656929628</v>
      </c>
      <c r="P269" s="86" t="str">
        <f t="shared" si="212"/>
        <v>15</v>
      </c>
      <c r="Q269" s="4" t="str">
        <f t="shared" si="213"/>
        <v>1+5,93016348959052i</v>
      </c>
      <c r="R269" s="4">
        <f t="shared" si="224"/>
        <v>6.01388717995877</v>
      </c>
      <c r="S269" s="4">
        <f t="shared" si="225"/>
        <v>1.40373855826853</v>
      </c>
      <c r="T269" s="4" t="str">
        <f t="shared" si="214"/>
        <v>1+0,0040663978214335i</v>
      </c>
      <c r="U269" s="4">
        <f t="shared" si="226"/>
        <v>1.00000826776144</v>
      </c>
      <c r="V269" s="4">
        <f t="shared" si="227"/>
        <v>0.00406637540822513</v>
      </c>
      <c r="W269" t="str">
        <f t="shared" si="215"/>
        <v>1-0,355809809375432i</v>
      </c>
      <c r="X269" s="4">
        <f t="shared" si="228"/>
        <v>1.06141444330091</v>
      </c>
      <c r="Y269" s="4">
        <f t="shared" si="229"/>
        <v>-0.34184119106831</v>
      </c>
      <c r="Z269" t="str">
        <f t="shared" si="216"/>
        <v>0,999925537525472+0,0188797041709412i</v>
      </c>
      <c r="AA269" s="4">
        <f t="shared" si="230"/>
        <v>1.00010375652988</v>
      </c>
      <c r="AB269" s="4">
        <f t="shared" si="231"/>
        <v>0.0188788669028355</v>
      </c>
      <c r="AC269" s="67" t="str">
        <f t="shared" si="232"/>
        <v>-0,498888455280658-2,59972004221829i</v>
      </c>
      <c r="AD269" s="68">
        <f t="shared" si="233"/>
        <v>8.45559015320225</v>
      </c>
      <c r="AE269" s="31">
        <f t="shared" si="234"/>
        <v>-100.863045687219</v>
      </c>
      <c r="AF269" s="32" t="str">
        <f t="shared" si="235"/>
        <v>75,4669735059805</v>
      </c>
      <c r="AG269" s="32" t="str">
        <f t="shared" si="217"/>
        <v>1+3,81224795759391i</v>
      </c>
      <c r="AH269" s="32">
        <f t="shared" si="236"/>
        <v>3.94122246139176</v>
      </c>
      <c r="AI269" s="32">
        <f t="shared" si="237"/>
        <v>1.31426348914499</v>
      </c>
      <c r="AJ269" s="32" t="str">
        <f t="shared" si="218"/>
        <v>1+0,0040663978214335i</v>
      </c>
      <c r="AK269" s="32">
        <f t="shared" si="238"/>
        <v>1.00000826776144</v>
      </c>
      <c r="AL269" s="32">
        <f t="shared" si="239"/>
        <v>0.00406637540822513</v>
      </c>
      <c r="AM269" s="32" t="str">
        <f t="shared" si="219"/>
        <v>1-0,0454637097614118i</v>
      </c>
      <c r="AN269" s="32">
        <f t="shared" si="240"/>
        <v>1.00103294096911</v>
      </c>
      <c r="AO269" s="32">
        <f t="shared" si="241"/>
        <v>-0.0454324248291633</v>
      </c>
      <c r="AP269" s="30" t="str">
        <f t="shared" si="242"/>
        <v>4,0925776133268-18,7260504910928i</v>
      </c>
      <c r="AQ269" s="32">
        <f t="shared" si="243"/>
        <v>25.6515588808007</v>
      </c>
      <c r="AR269" s="31">
        <f t="shared" si="244"/>
        <v>-77.671851143095</v>
      </c>
      <c r="AS269" t="str">
        <f t="shared" si="220"/>
        <v>-0,000338461538461538</v>
      </c>
      <c r="AT269" t="str">
        <f t="shared" si="221"/>
        <v>0,0035591960211661i</v>
      </c>
      <c r="AU269">
        <f t="shared" si="245"/>
        <v>0.0035591960211661</v>
      </c>
      <c r="AV269">
        <f t="shared" si="246"/>
        <v>1.5707963267949</v>
      </c>
      <c r="AW269" t="str">
        <f t="shared" si="222"/>
        <v>1+0,577644338145223i</v>
      </c>
      <c r="AX269">
        <f t="shared" si="247"/>
        <v>1.15484760093756</v>
      </c>
      <c r="AY269">
        <f t="shared" si="248"/>
        <v>0.523819299230914</v>
      </c>
      <c r="AZ269" t="str">
        <f t="shared" si="223"/>
        <v>1+5,04233329857754i</v>
      </c>
      <c r="BA269">
        <f t="shared" si="249"/>
        <v>5.14053743240372</v>
      </c>
      <c r="BB269">
        <f t="shared" si="250"/>
        <v>1.37501582113402</v>
      </c>
      <c r="BC269" s="30" t="str">
        <f t="shared" si="251"/>
        <v>-0,318345908433903+0,278985653371224i</v>
      </c>
      <c r="BD269" s="32">
        <f t="shared" si="252"/>
        <v>-7.46717467210309</v>
      </c>
      <c r="BE269" s="31">
        <f t="shared" si="253"/>
        <v>138.769968241263</v>
      </c>
      <c r="BF269" s="30" t="str">
        <f t="shared" si="254"/>
        <v>0,884103693064043+0,688427516857971i</v>
      </c>
      <c r="BG269" s="68">
        <f t="shared" si="255"/>
        <v>0.988415481099161</v>
      </c>
      <c r="BH269" s="31">
        <f t="shared" si="256"/>
        <v>37.9069225540435</v>
      </c>
      <c r="BI269" s="30" t="str">
        <f t="shared" si="263"/>
        <v>3,92144409316928+7,10313199439249i</v>
      </c>
      <c r="BJ269" s="68">
        <f t="shared" si="257"/>
        <v>18.1843842086977</v>
      </c>
      <c r="BK269" s="31">
        <f t="shared" si="264"/>
        <v>61.0981170981679</v>
      </c>
      <c r="BL269" s="32">
        <f t="shared" si="258"/>
        <v>0.988415481099161</v>
      </c>
      <c r="BM269" s="31">
        <f t="shared" si="259"/>
        <v>37.9069225540435</v>
      </c>
      <c r="BO269">
        <f t="shared" si="260"/>
        <v>0</v>
      </c>
      <c r="BP269">
        <f t="shared" si="261"/>
        <v>0</v>
      </c>
    </row>
    <row r="270" spans="14:68">
      <c r="N270" s="7">
        <v>52</v>
      </c>
      <c r="O270" s="18">
        <f t="shared" si="262"/>
        <v>3311.31121482591</v>
      </c>
      <c r="P270" s="86" t="str">
        <f t="shared" si="212"/>
        <v>15</v>
      </c>
      <c r="Q270" s="4" t="str">
        <f t="shared" si="213"/>
        <v>1+6,06829474197718i</v>
      </c>
      <c r="R270" s="4">
        <f t="shared" si="224"/>
        <v>6.15013829726681</v>
      </c>
      <c r="S270" s="4">
        <f t="shared" si="225"/>
        <v>1.40747323314979</v>
      </c>
      <c r="T270" s="4" t="str">
        <f t="shared" si="214"/>
        <v>1+0,00416111639449864i</v>
      </c>
      <c r="U270" s="4">
        <f t="shared" si="226"/>
        <v>1.00000865740735</v>
      </c>
      <c r="V270" s="4">
        <f t="shared" si="227"/>
        <v>0.00416109237832441</v>
      </c>
      <c r="W270" t="str">
        <f t="shared" si="215"/>
        <v>1-0,364097684518631i</v>
      </c>
      <c r="X270" s="4">
        <f t="shared" si="228"/>
        <v>1.06422136976845</v>
      </c>
      <c r="Y270" s="4">
        <f t="shared" si="229"/>
        <v>-0.349178387193728</v>
      </c>
      <c r="Z270" t="str">
        <f t="shared" si="216"/>
        <v>0,999922028217163+0,0193194689744579i</v>
      </c>
      <c r="AA270" s="4">
        <f t="shared" si="230"/>
        <v>1.00010864629568</v>
      </c>
      <c r="AB270" s="4">
        <f t="shared" si="231"/>
        <v>0.0193185718297256</v>
      </c>
      <c r="AC270" s="67" t="str">
        <f t="shared" si="232"/>
        <v>-0,518191091406235-2,54308641255706i</v>
      </c>
      <c r="AD270" s="68">
        <f t="shared" si="233"/>
        <v>8.28389861140487</v>
      </c>
      <c r="AE270" s="31">
        <f t="shared" si="234"/>
        <v>-101.517183521123</v>
      </c>
      <c r="AF270" s="32" t="str">
        <f t="shared" si="235"/>
        <v>75,4669735059805</v>
      </c>
      <c r="AG270" s="32" t="str">
        <f t="shared" si="217"/>
        <v>1+3,90104661984248i</v>
      </c>
      <c r="AH270" s="32">
        <f t="shared" si="236"/>
        <v>4.02717825905242</v>
      </c>
      <c r="AI270" s="32">
        <f t="shared" si="237"/>
        <v>1.31985819020488</v>
      </c>
      <c r="AJ270" s="32" t="str">
        <f t="shared" si="218"/>
        <v>1+0,00416111639449864i</v>
      </c>
      <c r="AK270" s="32">
        <f t="shared" si="238"/>
        <v>1.00000865740735</v>
      </c>
      <c r="AL270" s="32">
        <f t="shared" si="239"/>
        <v>0.00416109237832441</v>
      </c>
      <c r="AM270" s="32" t="str">
        <f t="shared" si="219"/>
        <v>1-0,0465226956019389i</v>
      </c>
      <c r="AN270" s="32">
        <f t="shared" si="240"/>
        <v>1.00108159567843</v>
      </c>
      <c r="AO270" s="32">
        <f t="shared" si="241"/>
        <v>-0.0464891751488834</v>
      </c>
      <c r="AP270" s="30" t="str">
        <f t="shared" si="242"/>
        <v>3,88516995022846-18,3531292775717i</v>
      </c>
      <c r="AQ270" s="32">
        <f t="shared" si="243"/>
        <v>25.4645863395234</v>
      </c>
      <c r="AR270" s="31">
        <f t="shared" si="244"/>
        <v>-78.0475243521484</v>
      </c>
      <c r="AS270" t="str">
        <f t="shared" si="220"/>
        <v>-0,000338461538461538</v>
      </c>
      <c r="AT270" t="str">
        <f t="shared" si="221"/>
        <v>0,00364210034661282i</v>
      </c>
      <c r="AU270">
        <f t="shared" si="245"/>
        <v>0.00364210034661282</v>
      </c>
      <c r="AV270">
        <f t="shared" si="246"/>
        <v>1.5707963267949</v>
      </c>
      <c r="AW270" t="str">
        <f t="shared" si="222"/>
        <v>1+0,591099403254663i</v>
      </c>
      <c r="AX270">
        <f t="shared" si="247"/>
        <v>1.16163613258542</v>
      </c>
      <c r="AY270">
        <f t="shared" si="248"/>
        <v>0.533849238343042</v>
      </c>
      <c r="AZ270" t="str">
        <f t="shared" si="223"/>
        <v>1+5,15978432917831i</v>
      </c>
      <c r="BA270">
        <f t="shared" si="249"/>
        <v>5.25579435705337</v>
      </c>
      <c r="BB270">
        <f t="shared" si="250"/>
        <v>1.37936303803604</v>
      </c>
      <c r="BC270" s="30" t="str">
        <f t="shared" si="251"/>
        <v>-0,314635991806769+0,278911463643856i</v>
      </c>
      <c r="BD270" s="32">
        <f t="shared" si="252"/>
        <v>-7.52548662062722</v>
      </c>
      <c r="BE270" s="31">
        <f t="shared" si="253"/>
        <v>138.444372242479</v>
      </c>
      <c r="BF270" s="30" t="str">
        <f t="shared" si="254"/>
        <v>0,872337521489125+0,655617079913888i</v>
      </c>
      <c r="BG270" s="68">
        <f t="shared" si="255"/>
        <v>0.758411990777652</v>
      </c>
      <c r="BH270" s="31">
        <f t="shared" si="256"/>
        <v>36.927188721356</v>
      </c>
      <c r="BI270" s="30" t="str">
        <f t="shared" si="263"/>
        <v>3,89648384862444+6,85817347032997i</v>
      </c>
      <c r="BJ270" s="68">
        <f t="shared" si="257"/>
        <v>17.9390997188961</v>
      </c>
      <c r="BK270" s="31">
        <f t="shared" si="264"/>
        <v>60.3968478903303</v>
      </c>
      <c r="BL270" s="32">
        <f t="shared" si="258"/>
        <v>0.758411990777652</v>
      </c>
      <c r="BM270" s="31">
        <f t="shared" si="259"/>
        <v>36.927188721356</v>
      </c>
      <c r="BO270">
        <f t="shared" si="260"/>
        <v>0</v>
      </c>
      <c r="BP270">
        <f t="shared" si="261"/>
        <v>0</v>
      </c>
    </row>
    <row r="271" spans="14:68">
      <c r="N271" s="7">
        <v>53</v>
      </c>
      <c r="O271" s="18">
        <f t="shared" si="262"/>
        <v>3388.44156139203</v>
      </c>
      <c r="P271" s="86" t="str">
        <f t="shared" si="212"/>
        <v>15</v>
      </c>
      <c r="Q271" s="4" t="str">
        <f t="shared" si="213"/>
        <v>1+6,2096434845594i</v>
      </c>
      <c r="R271" s="4">
        <f t="shared" si="224"/>
        <v>6.28964801919241</v>
      </c>
      <c r="S271" s="4">
        <f t="shared" si="225"/>
        <v>1.41112734378184</v>
      </c>
      <c r="T271" s="4" t="str">
        <f t="shared" si="214"/>
        <v>1+0,00425804124655502i</v>
      </c>
      <c r="U271" s="4">
        <f t="shared" si="226"/>
        <v>1.00000906541654</v>
      </c>
      <c r="V271" s="4">
        <f t="shared" si="227"/>
        <v>0.0042580155127733</v>
      </c>
      <c r="W271" t="str">
        <f t="shared" si="215"/>
        <v>1-0,372578609073565i</v>
      </c>
      <c r="X271" s="4">
        <f t="shared" si="228"/>
        <v>1.06715266946168</v>
      </c>
      <c r="Y271" s="4">
        <f t="shared" si="229"/>
        <v>-0.356646118887062</v>
      </c>
      <c r="Z271" t="str">
        <f t="shared" si="216"/>
        <v>0,999918353520249+0,0197694772161483i</v>
      </c>
      <c r="AA271" s="4">
        <f t="shared" si="230"/>
        <v>1.00011376649661</v>
      </c>
      <c r="AB271" s="4">
        <f t="shared" si="231"/>
        <v>0.019768515912968</v>
      </c>
      <c r="AC271" s="67" t="str">
        <f t="shared" si="232"/>
        <v>-0,536669109622509-2,48752187761316i</v>
      </c>
      <c r="AD271" s="68">
        <f t="shared" si="233"/>
        <v>8.11292007345474</v>
      </c>
      <c r="AE271" s="31">
        <f t="shared" si="234"/>
        <v>-102.174644757223</v>
      </c>
      <c r="AF271" s="32" t="str">
        <f t="shared" si="235"/>
        <v>75,4669735059805</v>
      </c>
      <c r="AG271" s="32" t="str">
        <f t="shared" si="217"/>
        <v>1+3,99191366864533i</v>
      </c>
      <c r="AH271" s="32">
        <f t="shared" si="236"/>
        <v>4.11526119923358</v>
      </c>
      <c r="AI271" s="32">
        <f t="shared" si="237"/>
        <v>1.32534109039391</v>
      </c>
      <c r="AJ271" s="32" t="str">
        <f t="shared" si="218"/>
        <v>1+0,00425804124655502i</v>
      </c>
      <c r="AK271" s="32">
        <f t="shared" si="238"/>
        <v>1.00000906541654</v>
      </c>
      <c r="AL271" s="32">
        <f t="shared" si="239"/>
        <v>0.0042580155127733</v>
      </c>
      <c r="AM271" s="32" t="str">
        <f t="shared" si="219"/>
        <v>1-0,0476063483914748i</v>
      </c>
      <c r="AN271" s="32">
        <f t="shared" si="240"/>
        <v>1.00113254087916</v>
      </c>
      <c r="AO271" s="32">
        <f t="shared" si="241"/>
        <v>-0.0475704327730505</v>
      </c>
      <c r="AP271" s="30" t="str">
        <f t="shared" si="242"/>
        <v>3,68596877985849-17,9854347013518i</v>
      </c>
      <c r="AQ271" s="32">
        <f t="shared" si="243"/>
        <v>25.2771008619283</v>
      </c>
      <c r="AR271" s="31">
        <f t="shared" si="244"/>
        <v>-78.4180696043609</v>
      </c>
      <c r="AS271" t="str">
        <f t="shared" si="220"/>
        <v>-0,000338461538461538</v>
      </c>
      <c r="AT271" t="str">
        <f t="shared" si="221"/>
        <v>0,00372693576187221i</v>
      </c>
      <c r="AU271">
        <f t="shared" si="245"/>
        <v>0.00372693576187221</v>
      </c>
      <c r="AV271">
        <f t="shared" si="246"/>
        <v>1.5707963267949</v>
      </c>
      <c r="AW271" t="str">
        <f t="shared" si="222"/>
        <v>1+0,604867877091833i</v>
      </c>
      <c r="AX271">
        <f t="shared" si="247"/>
        <v>1.16870233538638</v>
      </c>
      <c r="AY271">
        <f t="shared" si="248"/>
        <v>0.543991136022308</v>
      </c>
      <c r="AZ271" t="str">
        <f t="shared" si="223"/>
        <v>1+5,27997114572822i</v>
      </c>
      <c r="BA271">
        <f t="shared" si="249"/>
        <v>5.37383432008492</v>
      </c>
      <c r="BB271">
        <f t="shared" si="250"/>
        <v>1.38361839018557</v>
      </c>
      <c r="BC271" s="30" t="str">
        <f t="shared" si="251"/>
        <v>-0,310842792355569+0,278833784301562i</v>
      </c>
      <c r="BD271" s="32">
        <f t="shared" si="252"/>
        <v>-7.5852444461853</v>
      </c>
      <c r="BE271" s="31">
        <f t="shared" si="253"/>
        <v>138.107098027713</v>
      </c>
      <c r="BF271" s="30" t="str">
        <f t="shared" si="254"/>
        <v>0,860424863273842+0,623586767729049i</v>
      </c>
      <c r="BG271" s="68">
        <f t="shared" si="255"/>
        <v>0.527675627269438</v>
      </c>
      <c r="BH271" s="31">
        <f t="shared" si="256"/>
        <v>35.9324532704907</v>
      </c>
      <c r="BI271" s="30" t="str">
        <f t="shared" si="263"/>
        <v>3,86918999201989+6,6184153680023i</v>
      </c>
      <c r="BJ271" s="68">
        <f t="shared" si="257"/>
        <v>17.691856415743</v>
      </c>
      <c r="BK271" s="31">
        <f t="shared" si="264"/>
        <v>59.6890284233524</v>
      </c>
      <c r="BL271" s="32">
        <f t="shared" si="258"/>
        <v>0.527675627269438</v>
      </c>
      <c r="BM271" s="31">
        <f t="shared" si="259"/>
        <v>35.9324532704907</v>
      </c>
      <c r="BO271">
        <f t="shared" si="260"/>
        <v>0</v>
      </c>
      <c r="BP271">
        <f t="shared" si="261"/>
        <v>0</v>
      </c>
    </row>
    <row r="272" spans="14:68">
      <c r="N272" s="7">
        <v>54</v>
      </c>
      <c r="O272" s="18">
        <f t="shared" si="262"/>
        <v>3467.36850452532</v>
      </c>
      <c r="P272" s="86" t="str">
        <f t="shared" si="212"/>
        <v>15</v>
      </c>
      <c r="Q272" s="4" t="str">
        <f t="shared" si="213"/>
        <v>1+6,35428466231148i</v>
      </c>
      <c r="R272" s="4">
        <f t="shared" si="224"/>
        <v>6.43249046401834</v>
      </c>
      <c r="S272" s="4">
        <f t="shared" si="225"/>
        <v>1.41470243709151</v>
      </c>
      <c r="T272" s="4" t="str">
        <f t="shared" si="214"/>
        <v>1+0,00435722376844216i</v>
      </c>
      <c r="U272" s="4">
        <f t="shared" si="226"/>
        <v>1.00000949265443</v>
      </c>
      <c r="V272" s="4">
        <f t="shared" si="227"/>
        <v>0.00435719619421238</v>
      </c>
      <c r="W272" t="str">
        <f t="shared" si="215"/>
        <v>1-0,381257079738689i</v>
      </c>
      <c r="X272" s="4">
        <f t="shared" si="228"/>
        <v>1.07021351180541</v>
      </c>
      <c r="Y272" s="4">
        <f t="shared" si="229"/>
        <v>-0.364245013029087</v>
      </c>
      <c r="Z272" t="str">
        <f t="shared" si="216"/>
        <v>0,999914505640205+0,0202299674963385i</v>
      </c>
      <c r="AA272" s="4">
        <f t="shared" si="230"/>
        <v>1.00011912799156</v>
      </c>
      <c r="AB272" s="4">
        <f t="shared" si="231"/>
        <v>0.0202289374467184</v>
      </c>
      <c r="AC272" s="67" t="str">
        <f t="shared" si="232"/>
        <v>-0,55435577390631-2,43301468563554i</v>
      </c>
      <c r="AD272" s="68">
        <f t="shared" si="233"/>
        <v>7.94269853656924</v>
      </c>
      <c r="AE272" s="31">
        <f t="shared" si="234"/>
        <v>-102.835564654762</v>
      </c>
      <c r="AF272" s="32" t="str">
        <f t="shared" si="235"/>
        <v>75,4669735059805</v>
      </c>
      <c r="AG272" s="32" t="str">
        <f t="shared" si="217"/>
        <v>1+4,08489728291453i</v>
      </c>
      <c r="AH272" s="32">
        <f t="shared" si="236"/>
        <v>4.20551849502086</v>
      </c>
      <c r="AI272" s="32">
        <f t="shared" si="237"/>
        <v>1.33071377763503</v>
      </c>
      <c r="AJ272" s="32" t="str">
        <f t="shared" si="218"/>
        <v>1+0,00435722376844216i</v>
      </c>
      <c r="AK272" s="32">
        <f t="shared" si="238"/>
        <v>1.00000949265443</v>
      </c>
      <c r="AL272" s="32">
        <f t="shared" si="239"/>
        <v>0.00435719619421238</v>
      </c>
      <c r="AM272" s="32" t="str">
        <f t="shared" si="219"/>
        <v>1-0,0487152426970724i</v>
      </c>
      <c r="AN272" s="32">
        <f t="shared" si="240"/>
        <v>1.00118588427476</v>
      </c>
      <c r="AO272" s="32">
        <f t="shared" si="241"/>
        <v>-0.048676760880076</v>
      </c>
      <c r="AP272" s="30" t="str">
        <f t="shared" si="242"/>
        <v>3,49469541477736-17,6230372437026i</v>
      </c>
      <c r="AQ272" s="32">
        <f t="shared" si="243"/>
        <v>25.0891245355843</v>
      </c>
      <c r="AR272" s="31">
        <f t="shared" si="244"/>
        <v>-78.7836072047545</v>
      </c>
      <c r="AS272" t="str">
        <f t="shared" si="220"/>
        <v>-0,000338461538461538</v>
      </c>
      <c r="AT272" t="str">
        <f t="shared" si="221"/>
        <v>0,00381374724780436i</v>
      </c>
      <c r="AU272">
        <f t="shared" si="245"/>
        <v>0.00381374724780436</v>
      </c>
      <c r="AV272">
        <f t="shared" si="246"/>
        <v>1.5707963267949</v>
      </c>
      <c r="AW272" t="str">
        <f t="shared" si="222"/>
        <v>1+0,618957059883809i</v>
      </c>
      <c r="AX272">
        <f t="shared" si="247"/>
        <v>1.17605605392771</v>
      </c>
      <c r="AY272">
        <f t="shared" si="248"/>
        <v>0.55424202372641</v>
      </c>
      <c r="AZ272" t="str">
        <f t="shared" si="223"/>
        <v>1+5,40295747286828i</v>
      </c>
      <c r="BA272">
        <f t="shared" si="249"/>
        <v>5.49472014333971</v>
      </c>
      <c r="BB272">
        <f t="shared" si="250"/>
        <v>1.38778351708028</v>
      </c>
      <c r="BC272" s="30" t="str">
        <f t="shared" si="251"/>
        <v>-0,306967630381552+0,278747545392525i</v>
      </c>
      <c r="BD272" s="32">
        <f t="shared" si="252"/>
        <v>-7.64650054087891</v>
      </c>
      <c r="BE272" s="31">
        <f t="shared" si="253"/>
        <v>137.758409618209</v>
      </c>
      <c r="BF272" s="30" t="str">
        <f t="shared" si="254"/>
        <v>0,848366149829224+0,592331441482501i</v>
      </c>
      <c r="BG272" s="68">
        <f t="shared" si="255"/>
        <v>0.296197995690329</v>
      </c>
      <c r="BH272" s="31">
        <f t="shared" si="256"/>
        <v>34.9228449634465</v>
      </c>
      <c r="BI272" s="30" t="str">
        <f t="shared" si="263"/>
        <v>3,83962000366367+6,38383975158893i</v>
      </c>
      <c r="BJ272" s="68">
        <f t="shared" si="257"/>
        <v>17.4426239947054</v>
      </c>
      <c r="BK272" s="31">
        <f t="shared" si="264"/>
        <v>58.9748024134542</v>
      </c>
      <c r="BL272" s="32">
        <f t="shared" si="258"/>
        <v>0.296197995690329</v>
      </c>
      <c r="BM272" s="31">
        <f t="shared" si="259"/>
        <v>34.9228449634465</v>
      </c>
      <c r="BO272">
        <f t="shared" si="260"/>
        <v>0</v>
      </c>
      <c r="BP272">
        <f t="shared" si="261"/>
        <v>0</v>
      </c>
    </row>
    <row r="273" spans="14:68">
      <c r="N273" s="7">
        <v>55</v>
      </c>
      <c r="O273" s="18">
        <f t="shared" si="262"/>
        <v>3548.13389233575</v>
      </c>
      <c r="P273" s="86" t="str">
        <f t="shared" si="212"/>
        <v>15</v>
      </c>
      <c r="Q273" s="4" t="str">
        <f t="shared" si="213"/>
        <v>1+6,50229496590039i</v>
      </c>
      <c r="R273" s="4">
        <f t="shared" si="224"/>
        <v>6.57874150758134</v>
      </c>
      <c r="S273" s="4">
        <f t="shared" si="225"/>
        <v>1.41820004289948</v>
      </c>
      <c r="T273" s="4" t="str">
        <f t="shared" si="214"/>
        <v>1+0,00445871654804598i</v>
      </c>
      <c r="U273" s="4">
        <f t="shared" si="226"/>
        <v>1.00000994002723</v>
      </c>
      <c r="V273" s="4">
        <f t="shared" si="227"/>
        <v>0.00445868700174231</v>
      </c>
      <c r="W273" t="str">
        <f t="shared" si="215"/>
        <v>1-0,390137697954024i</v>
      </c>
      <c r="X273" s="4">
        <f t="shared" si="228"/>
        <v>1.07340925250571</v>
      </c>
      <c r="Y273" s="4">
        <f t="shared" si="229"/>
        <v>-0.371975587376251</v>
      </c>
      <c r="Z273" t="str">
        <f t="shared" si="216"/>
        <v>0,999910476415161+0,0207011839730706i</v>
      </c>
      <c r="AA273" s="4">
        <f t="shared" si="230"/>
        <v>1.00012474215104</v>
      </c>
      <c r="AB273" s="4">
        <f t="shared" si="231"/>
        <v>0.0207000802609592</v>
      </c>
      <c r="AC273" s="67" t="str">
        <f t="shared" si="232"/>
        <v>-0,571283166203346-2,37955256119445i</v>
      </c>
      <c r="AD273" s="68">
        <f t="shared" si="233"/>
        <v>7.77327833110659</v>
      </c>
      <c r="AE273" s="31">
        <f t="shared" si="234"/>
        <v>-103.500071489137</v>
      </c>
      <c r="AF273" s="32" t="str">
        <f t="shared" si="235"/>
        <v>75,4669735059805</v>
      </c>
      <c r="AG273" s="32" t="str">
        <f t="shared" si="217"/>
        <v>1+4,18004676379311i</v>
      </c>
      <c r="AH273" s="32">
        <f t="shared" si="236"/>
        <v>4.2979984815606</v>
      </c>
      <c r="AI273" s="32">
        <f t="shared" si="237"/>
        <v>1.3359778593706</v>
      </c>
      <c r="AJ273" s="32" t="str">
        <f t="shared" si="218"/>
        <v>1+0,00445871654804598i</v>
      </c>
      <c r="AK273" s="32">
        <f t="shared" si="238"/>
        <v>1.00000994002723</v>
      </c>
      <c r="AL273" s="32">
        <f t="shared" si="239"/>
        <v>0.00445868700174231</v>
      </c>
      <c r="AM273" s="32" t="str">
        <f t="shared" si="219"/>
        <v>1-0,0498499664691701i</v>
      </c>
      <c r="AN273" s="32">
        <f t="shared" si="240"/>
        <v>1.00124173862109</v>
      </c>
      <c r="AO273" s="32">
        <f t="shared" si="241"/>
        <v>-0.0498087352207813</v>
      </c>
      <c r="AP273" s="30" t="str">
        <f t="shared" si="242"/>
        <v>3,3110767631078-17,2659959635001i</v>
      </c>
      <c r="AQ273" s="32">
        <f t="shared" si="243"/>
        <v>24.9006787685364</v>
      </c>
      <c r="AR273" s="31">
        <f t="shared" si="244"/>
        <v>-79.1442592285235</v>
      </c>
      <c r="AS273" t="str">
        <f t="shared" si="220"/>
        <v>-0,000338461538461538</v>
      </c>
      <c r="AT273" t="str">
        <f t="shared" si="221"/>
        <v>0,00390258083300821i</v>
      </c>
      <c r="AU273">
        <f t="shared" si="245"/>
        <v>0.00390258083300821</v>
      </c>
      <c r="AV273">
        <f t="shared" si="246"/>
        <v>1.5707963267949</v>
      </c>
      <c r="AW273" t="str">
        <f t="shared" si="222"/>
        <v>1+0,633374421901798i</v>
      </c>
      <c r="AX273">
        <f t="shared" si="247"/>
        <v>1.18370737867069</v>
      </c>
      <c r="AY273">
        <f t="shared" si="248"/>
        <v>0.564598718826544</v>
      </c>
      <c r="AZ273" t="str">
        <f t="shared" si="223"/>
        <v>1+5,52880851957701i</v>
      </c>
      <c r="BA273">
        <f t="shared" si="249"/>
        <v>5.61851614273265</v>
      </c>
      <c r="BB273">
        <f t="shared" si="250"/>
        <v>1.39186004878128</v>
      </c>
      <c r="BC273" s="30" t="str">
        <f t="shared" si="251"/>
        <v>-0,303012061296255+0,278647706835633i</v>
      </c>
      <c r="BD273" s="32">
        <f t="shared" si="252"/>
        <v>-7.70930609763551</v>
      </c>
      <c r="BE273" s="31">
        <f t="shared" si="253"/>
        <v>137.398582760786</v>
      </c>
      <c r="BF273" s="30" t="str">
        <f t="shared" si="254"/>
        <v>0,836162554246818+0,561846382313951i</v>
      </c>
      <c r="BG273" s="68">
        <f t="shared" si="255"/>
        <v>0.0639722334710772</v>
      </c>
      <c r="BH273" s="31">
        <f t="shared" si="256"/>
        <v>33.898511271649</v>
      </c>
      <c r="BI273" s="30" t="str">
        <f t="shared" si="263"/>
        <v>3,80783398636317+6,15442897442972i</v>
      </c>
      <c r="BJ273" s="68">
        <f t="shared" si="257"/>
        <v>17.1913726709009</v>
      </c>
      <c r="BK273" s="31">
        <f t="shared" si="264"/>
        <v>58.2543235322625</v>
      </c>
      <c r="BL273" s="32">
        <f t="shared" si="258"/>
        <v>0.0639722334710772</v>
      </c>
      <c r="BM273" s="31">
        <f t="shared" si="259"/>
        <v>33.898511271649</v>
      </c>
      <c r="BO273">
        <f t="shared" si="260"/>
        <v>3548.13389233575</v>
      </c>
      <c r="BP273">
        <f t="shared" si="261"/>
        <v>33.898511271649</v>
      </c>
    </row>
    <row r="274" spans="14:68">
      <c r="N274" s="7">
        <v>56</v>
      </c>
      <c r="O274" s="18">
        <f t="shared" si="262"/>
        <v>3630.78054770102</v>
      </c>
      <c r="P274" s="86" t="str">
        <f t="shared" si="212"/>
        <v>15</v>
      </c>
      <c r="Q274" s="4" t="str">
        <f t="shared" si="213"/>
        <v>1+6,65375287234831i</v>
      </c>
      <c r="R274" s="4">
        <f t="shared" si="224"/>
        <v>6.72847882409415</v>
      </c>
      <c r="S274" s="4">
        <f t="shared" si="225"/>
        <v>1.42162167321036</v>
      </c>
      <c r="T274" s="4" t="str">
        <f t="shared" si="214"/>
        <v>1+0,0045625733981817i</v>
      </c>
      <c r="U274" s="4">
        <f t="shared" si="226"/>
        <v>1.00001040848384</v>
      </c>
      <c r="V274" s="4">
        <f t="shared" si="227"/>
        <v>0.00456254173876472</v>
      </c>
      <c r="W274" t="str">
        <f t="shared" si="215"/>
        <v>1-0,399225172340899i</v>
      </c>
      <c r="X274" s="4">
        <f t="shared" si="228"/>
        <v>1.07674543798923</v>
      </c>
      <c r="Y274" s="4">
        <f t="shared" si="229"/>
        <v>-0.379838243820065</v>
      </c>
      <c r="Z274" t="str">
        <f t="shared" si="216"/>
        <v>0,999906257298592+0,0211833764915578i</v>
      </c>
      <c r="AA274" s="4">
        <f t="shared" si="230"/>
        <v>1.00013062088132</v>
      </c>
      <c r="AB274" s="4">
        <f t="shared" si="231"/>
        <v>0.0211821938493897</v>
      </c>
      <c r="AC274" s="67" t="str">
        <f t="shared" si="232"/>
        <v>-0,587482213924553-2,32712276099827i</v>
      </c>
      <c r="AD274" s="68">
        <f t="shared" si="233"/>
        <v>7.6047041123917</v>
      </c>
      <c r="AE274" s="31">
        <f t="shared" si="234"/>
        <v>-104.168286130746</v>
      </c>
      <c r="AF274" s="32" t="str">
        <f t="shared" si="235"/>
        <v>75,4669735059805</v>
      </c>
      <c r="AG274" s="32" t="str">
        <f t="shared" si="217"/>
        <v>1+4,27741256079535i</v>
      </c>
      <c r="AH274" s="32">
        <f t="shared" si="236"/>
        <v>4.39275064341806</v>
      </c>
      <c r="AI274" s="32">
        <f t="shared" si="237"/>
        <v>1.34113495921277</v>
      </c>
      <c r="AJ274" s="32" t="str">
        <f t="shared" si="218"/>
        <v>1+0,0045625733981817i</v>
      </c>
      <c r="AK274" s="32">
        <f t="shared" si="238"/>
        <v>1.00001040848384</v>
      </c>
      <c r="AL274" s="32">
        <f t="shared" si="239"/>
        <v>0.00456254173876472</v>
      </c>
      <c r="AM274" s="32" t="str">
        <f t="shared" si="219"/>
        <v>1-0,0510111213533325i</v>
      </c>
      <c r="AN274" s="32">
        <f t="shared" si="240"/>
        <v>1.00130022196229</v>
      </c>
      <c r="AO274" s="32">
        <f t="shared" si="241"/>
        <v>-0.0509669443725673</v>
      </c>
      <c r="AP274" s="30" t="str">
        <f t="shared" si="242"/>
        <v>3,1348455679782-16,9143591465462i</v>
      </c>
      <c r="AQ274" s="32">
        <f t="shared" si="243"/>
        <v>24.7117843063251</v>
      </c>
      <c r="AR274" s="31">
        <f t="shared" si="244"/>
        <v>-79.5001493420841</v>
      </c>
      <c r="AS274" t="str">
        <f t="shared" si="220"/>
        <v>-0,000338461538461538</v>
      </c>
      <c r="AT274" t="str">
        <f t="shared" si="221"/>
        <v>0,0039934836182265i</v>
      </c>
      <c r="AU274">
        <f t="shared" si="245"/>
        <v>0.0039934836182265</v>
      </c>
      <c r="AV274">
        <f t="shared" si="246"/>
        <v>1.5707963267949</v>
      </c>
      <c r="AW274" t="str">
        <f t="shared" si="222"/>
        <v>1+0,648127607421986i</v>
      </c>
      <c r="AX274">
        <f t="shared" si="247"/>
        <v>1.19166664613161</v>
      </c>
      <c r="AY274">
        <f t="shared" si="248"/>
        <v>0.575057825274766</v>
      </c>
      <c r="AZ274" t="str">
        <f t="shared" si="223"/>
        <v>1+5,65759101374531i</v>
      </c>
      <c r="BA274">
        <f t="shared" si="249"/>
        <v>5.74528816325271</v>
      </c>
      <c r="BB274">
        <f t="shared" si="250"/>
        <v>1.39584960449933</v>
      </c>
      <c r="BC274" s="30" t="str">
        <f t="shared" si="251"/>
        <v>-0,298977879644039+0,278529273890292i</v>
      </c>
      <c r="BD274" s="32">
        <f t="shared" si="252"/>
        <v>-7.77371101512016</v>
      </c>
      <c r="BE274" s="31">
        <f t="shared" si="253"/>
        <v>137.027904808601</v>
      </c>
      <c r="BF274" s="30" t="str">
        <f t="shared" si="254"/>
        <v>0,823815999522168+0,532127234286778i</v>
      </c>
      <c r="BG274" s="68">
        <f t="shared" si="255"/>
        <v>-0.169006902728458</v>
      </c>
      <c r="BH274" s="31">
        <f t="shared" si="256"/>
        <v>32.8596186778558</v>
      </c>
      <c r="BI274" s="30" t="str">
        <f t="shared" si="263"/>
        <v>3,7738946904815+5,93016549297931i</v>
      </c>
      <c r="BJ274" s="68">
        <f t="shared" si="257"/>
        <v>16.9380732912049</v>
      </c>
      <c r="BK274" s="31">
        <f t="shared" si="264"/>
        <v>57.5277554665173</v>
      </c>
      <c r="BL274" s="32">
        <f t="shared" si="258"/>
        <v>-0.169006902728458</v>
      </c>
      <c r="BM274" s="31">
        <f t="shared" si="259"/>
        <v>32.8596186778558</v>
      </c>
      <c r="BO274">
        <f t="shared" si="260"/>
        <v>0</v>
      </c>
      <c r="BP274">
        <f t="shared" si="261"/>
        <v>0</v>
      </c>
    </row>
    <row r="275" spans="14:68">
      <c r="N275" s="7">
        <v>57</v>
      </c>
      <c r="O275" s="18">
        <f t="shared" si="262"/>
        <v>3715.35229097172</v>
      </c>
      <c r="P275" s="86" t="str">
        <f t="shared" ref="P275:P338" si="265">COMPLEX(Adc,0)</f>
        <v>15</v>
      </c>
      <c r="Q275" s="4" t="str">
        <f t="shared" ref="Q275:Q338" si="266">IMSUM(COMPLEX(1,0),IMDIV(COMPLEX(0,2*PI()*O275),COMPLEX(wp_lf,0)))</f>
        <v>1+6,80873868664196i</v>
      </c>
      <c r="R275" s="4">
        <f t="shared" si="224"/>
        <v>6.88178192788575</v>
      </c>
      <c r="S275" s="4">
        <f t="shared" si="225"/>
        <v>1.42496882158113</v>
      </c>
      <c r="T275" s="4" t="str">
        <f t="shared" ref="T275:T338" si="267">IMSUM(COMPLEX(1,0),IMDIV(COMPLEX(0,2*PI()*O275),COMPLEX(wz_esr,0)))</f>
        <v>1+0,00466884938512592i</v>
      </c>
      <c r="U275" s="4">
        <f t="shared" si="226"/>
        <v>1.0000108990179</v>
      </c>
      <c r="V275" s="4">
        <f t="shared" si="227"/>
        <v>0.0046688154614694</v>
      </c>
      <c r="W275" t="str">
        <f t="shared" ref="W275:W338" si="268">IMSUB(COMPLEX(1,0),IMDIV(COMPLEX(0,2*PI()*O275),COMPLEX(wz_rhp,0)))</f>
        <v>1-0,408524321198518i</v>
      </c>
      <c r="X275" s="4">
        <f t="shared" si="228"/>
        <v>1.08022780977473</v>
      </c>
      <c r="Y275" s="4">
        <f t="shared" si="229"/>
        <v>-0.387833261572406</v>
      </c>
      <c r="Z275" t="str">
        <f t="shared" ref="Z275:Z338" si="269">IMSUM(COMPLEX(1,0),IMDIV(COMPLEX(0,2*PI()*O275),COMPLEX(Q*(wsl/2),0)),IMDIV(IMPOWER(COMPLEX(0,2*PI()*O275),2),IMPOWER(COMPLEX(wsl/2,0),2)))</f>
        <v>0,999901839341184+0,021676800716656i</v>
      </c>
      <c r="AA275" s="4">
        <f t="shared" si="230"/>
        <v>1.00013677664967</v>
      </c>
      <c r="AB275" s="4">
        <f t="shared" si="231"/>
        <v>0.0216755335002219</v>
      </c>
      <c r="AC275" s="67" t="str">
        <f t="shared" si="232"/>
        <v>-0,60298271817773-2,27571212631667i</v>
      </c>
      <c r="AD275" s="68">
        <f t="shared" si="233"/>
        <v>7.43702084827993</v>
      </c>
      <c r="AE275" s="31">
        <f t="shared" si="234"/>
        <v>-104.840321624211</v>
      </c>
      <c r="AF275" s="32" t="str">
        <f t="shared" si="235"/>
        <v>75,4669735059805</v>
      </c>
      <c r="AG275" s="32" t="str">
        <f t="shared" ref="AG275:AG338" si="270">IMSUM(COMPLEX(1,0),IMDIV(COMPLEX(0,2*PI()*O275),COMPLEX(wp_lf_DCM,0)))</f>
        <v>1+4,37704629855555i</v>
      </c>
      <c r="AH275" s="32">
        <f t="shared" si="236"/>
        <v>4.48982564246083</v>
      </c>
      <c r="AI275" s="32">
        <f t="shared" si="237"/>
        <v>1.3461867137872</v>
      </c>
      <c r="AJ275" s="32" t="str">
        <f t="shared" ref="AJ275:AJ338" si="271">IMSUM(COMPLEX(1,0),IMDIV(COMPLEX(0,2*PI()*O275),COMPLEX(wz1_dcm,0)))</f>
        <v>1+0,00466884938512592i</v>
      </c>
      <c r="AK275" s="32">
        <f t="shared" si="238"/>
        <v>1.0000108990179</v>
      </c>
      <c r="AL275" s="32">
        <f t="shared" si="239"/>
        <v>0.0046688154614694</v>
      </c>
      <c r="AM275" s="32" t="str">
        <f t="shared" ref="AM275:AM338" si="272">IMSUB(COMPLEX(1,0),IMDIV(COMPLEX(0,2*PI()*O275),COMPLEX(wz2_dcm,0)))</f>
        <v>1-0,0521993230092483i</v>
      </c>
      <c r="AN275" s="32">
        <f t="shared" si="240"/>
        <v>1.00136145787754</v>
      </c>
      <c r="AO275" s="32">
        <f t="shared" si="241"/>
        <v>-0.0521519899967763</v>
      </c>
      <c r="AP275" s="30" t="str">
        <f t="shared" si="242"/>
        <v>2,96574060645326-16,5681649376705i</v>
      </c>
      <c r="AQ275" s="32">
        <f t="shared" si="243"/>
        <v>24.5224612496735</v>
      </c>
      <c r="AR275" s="31">
        <f t="shared" si="244"/>
        <v>-79.8514026353484</v>
      </c>
      <c r="AS275" t="str">
        <f t="shared" ref="AS275:AS338" si="273">COMPLEX(Adc_ea,0)</f>
        <v>-0,000338461538461538</v>
      </c>
      <c r="AT275" t="str">
        <f t="shared" ref="AT275:AT338" si="274">COMPLEX(0,2*PI()*O275*wp0_ea)</f>
        <v>0,00408650380131916i</v>
      </c>
      <c r="AU275">
        <f t="shared" si="245"/>
        <v>0.00408650380131916</v>
      </c>
      <c r="AV275">
        <f t="shared" si="246"/>
        <v>1.5707963267949</v>
      </c>
      <c r="AW275" t="str">
        <f t="shared" ref="AW275:AW338" si="275">IMSUM(COMPLEX(1,0),IMDIV(COMPLEX(0,2*PI()*O275),COMPLEX(wp1_ea,0)))</f>
        <v>1+0,663224438778609i</v>
      </c>
      <c r="AX275">
        <f t="shared" si="247"/>
        <v>1.19994443879423</v>
      </c>
      <c r="AY275">
        <f t="shared" si="248"/>
        <v>0.585615735160684</v>
      </c>
      <c r="AZ275" t="str">
        <f t="shared" ref="AZ275:AZ338" si="276">IMSUM(COMPLEX(1,0),IMDIV(COMPLEX(0,2*PI()*O275),COMPLEX(wz_ea,0)))</f>
        <v>1+5,78937323755614i</v>
      </c>
      <c r="BA275">
        <f t="shared" si="249"/>
        <v>5.875103614723</v>
      </c>
      <c r="BB275">
        <f t="shared" si="250"/>
        <v>1.39975379129844</v>
      </c>
      <c r="BC275" s="30" t="str">
        <f t="shared" si="251"/>
        <v>-0,294867121888387+0,278387313319108i</v>
      </c>
      <c r="BD275" s="32">
        <f t="shared" si="252"/>
        <v>-7.83976380082568</v>
      </c>
      <c r="BE275" s="31">
        <f t="shared" si="253"/>
        <v>136.646674557678</v>
      </c>
      <c r="BF275" s="30" t="str">
        <f t="shared" si="254"/>
        <v>0,811329163390516+0,503169946042147i</v>
      </c>
      <c r="BG275" s="68">
        <f t="shared" si="255"/>
        <v>-0.402742952545745</v>
      </c>
      <c r="BH275" s="31">
        <f t="shared" si="256"/>
        <v>31.8063529334676</v>
      </c>
      <c r="BI275" s="30" t="str">
        <f t="shared" si="263"/>
        <v>3,73786752673354+5,71103166957489i</v>
      </c>
      <c r="BJ275" s="68">
        <f t="shared" si="257"/>
        <v>16.6826974488478</v>
      </c>
      <c r="BK275" s="31">
        <f t="shared" si="264"/>
        <v>56.7952719223297</v>
      </c>
      <c r="BL275" s="32">
        <f t="shared" si="258"/>
        <v>-0.402742952545745</v>
      </c>
      <c r="BM275" s="31">
        <f t="shared" si="259"/>
        <v>31.8063529334676</v>
      </c>
      <c r="BO275">
        <f t="shared" si="260"/>
        <v>0</v>
      </c>
      <c r="BP275">
        <f t="shared" si="261"/>
        <v>0</v>
      </c>
    </row>
    <row r="276" spans="14:68">
      <c r="N276" s="7">
        <v>58</v>
      </c>
      <c r="O276" s="18">
        <f t="shared" si="262"/>
        <v>3801.89396320562</v>
      </c>
      <c r="P276" s="86" t="str">
        <f t="shared" si="265"/>
        <v>15</v>
      </c>
      <c r="Q276" s="4" t="str">
        <f t="shared" si="266"/>
        <v>1+6,96733458431159i</v>
      </c>
      <c r="R276" s="4">
        <f t="shared" ref="R276:R339" si="277">IMABS(Q276)</f>
        <v>7.0387322160844</v>
      </c>
      <c r="S276" s="4">
        <f t="shared" ref="S276:S339" si="278">IMARGUMENT(Q276)</f>
        <v>1.42824296256301</v>
      </c>
      <c r="T276" s="4" t="str">
        <f t="shared" si="267"/>
        <v>1+0,00477760085781366i</v>
      </c>
      <c r="U276" s="4">
        <f t="shared" ref="U276:U339" si="279">IMABS(T276)</f>
        <v>1.00001141266985</v>
      </c>
      <c r="V276" s="4">
        <f t="shared" ref="V276:V339" si="280">IMARGUMENT(T276)</f>
        <v>0.0047775645079832</v>
      </c>
      <c r="W276" t="str">
        <f t="shared" si="268"/>
        <v>1-0,418040075058696i</v>
      </c>
      <c r="X276" s="4">
        <f t="shared" ref="X276:X339" si="281">IMABS(W276)</f>
        <v>1.08386230876209</v>
      </c>
      <c r="Y276" s="4">
        <f t="shared" ref="Y276:Y339" si="282">IMARGUMENT(W276)</f>
        <v>-0.395960790304109</v>
      </c>
      <c r="Z276" t="str">
        <f t="shared" si="269"/>
        <v>0,999897213171858+0,0221817182684205i</v>
      </c>
      <c r="AA276" s="4">
        <f t="shared" ref="AA276:AA339" si="283">IMABS(Z276)</f>
        <v>1.00014322251075</v>
      </c>
      <c r="AB276" s="4">
        <f t="shared" ref="AB276:AB339" si="284">IMARGUMENT(Z276)</f>
        <v>0.0221803604299402</v>
      </c>
      <c r="AC276" s="67" t="str">
        <f t="shared" ref="AC276:AC339" si="285">(IMDIV(IMPRODUCT(P276,T276,W276),IMPRODUCT(Q276,Z276)))</f>
        <v>-0,617813382560433-2,22530713214838i</v>
      </c>
      <c r="AD276" s="68">
        <f t="shared" ref="AD276:AD339" si="286">20*LOG(IMABS(AC276))</f>
        <v>7.27027380225954</v>
      </c>
      <c r="AE276" s="31">
        <f t="shared" ref="AE276:AE339" si="287">(180/PI())*IMARGUMENT(AC276)</f>
        <v>-105.516282769268</v>
      </c>
      <c r="AF276" s="32" t="str">
        <f t="shared" ref="AF276:AF339" si="288">COMPLEX($B$68,0)</f>
        <v>75,4669735059805</v>
      </c>
      <c r="AG276" s="32" t="str">
        <f t="shared" si="270"/>
        <v>1+4,47900080420031i</v>
      </c>
      <c r="AH276" s="32">
        <f t="shared" ref="AH276:AH339" si="289">IMABS(AG276)</f>
        <v>4.58927534628584</v>
      </c>
      <c r="AI276" s="32">
        <f t="shared" ref="AI276:AI339" si="290">IMARGUMENT(AG276)</f>
        <v>1.35113476976495</v>
      </c>
      <c r="AJ276" s="32" t="str">
        <f t="shared" si="271"/>
        <v>1+0,00477760085781366i</v>
      </c>
      <c r="AK276" s="32">
        <f t="shared" ref="AK276:AK339" si="291">IMABS(AJ276)</f>
        <v>1.00001141266985</v>
      </c>
      <c r="AL276" s="32">
        <f t="shared" ref="AL276:AL339" si="292">IMARGUMENT(AJ276)</f>
        <v>0.0047775645079832</v>
      </c>
      <c r="AM276" s="32" t="str">
        <f t="shared" si="272"/>
        <v>1-0,0534152014371632i</v>
      </c>
      <c r="AN276" s="32">
        <f t="shared" ref="AN276:AN339" si="293">IMABS(AM276)</f>
        <v>1.00142557573919</v>
      </c>
      <c r="AO276" s="32">
        <f t="shared" ref="AO276:AO339" si="294">IMARGUMENT(AM276)</f>
        <v>-0.0533644870991385</v>
      </c>
      <c r="AP276" s="30" t="str">
        <f t="shared" ref="AP276:AP339" si="295">(IMDIV(IMPRODUCT(AF276,AJ276,AM276),IMPRODUCT(AG276)))</f>
        <v>2,80350685095104-16,227441954307i</v>
      </c>
      <c r="AQ276" s="32">
        <f t="shared" ref="AQ276:AQ339" si="296">20*LOG(IMABS(AP276))</f>
        <v>24.3327290727399</v>
      </c>
      <c r="AR276" s="31">
        <f t="shared" ref="AR276:AR339" si="297">(180/PI())*IMARGUMENT(AP276)</f>
        <v>-80.1981454649139</v>
      </c>
      <c r="AS276" t="str">
        <f t="shared" si="273"/>
        <v>-0,000338461538461538</v>
      </c>
      <c r="AT276" t="str">
        <f t="shared" si="274"/>
        <v>0,00418169070281856i</v>
      </c>
      <c r="AU276">
        <f t="shared" ref="AU276:AU339" si="298">IMABS(AT276)</f>
        <v>0.00418169070281856</v>
      </c>
      <c r="AV276">
        <f t="shared" ref="AV276:AV339" si="299">IMARGUMENT(AT276)</f>
        <v>1.5707963267949</v>
      </c>
      <c r="AW276" t="str">
        <f t="shared" si="275"/>
        <v>1+0,678672920511487i</v>
      </c>
      <c r="AX276">
        <f t="shared" ref="AX276:AX339" si="300">IMABS(AW276)</f>
        <v>1.20855158476401</v>
      </c>
      <c r="AY276">
        <f t="shared" ref="AY276:AY339" si="301">IMARGUMENT(AW276)</f>
        <v>0.596268631191681</v>
      </c>
      <c r="AZ276" t="str">
        <f t="shared" si="276"/>
        <v>1+5,92422506368894i</v>
      </c>
      <c r="BA276">
        <f t="shared" ref="BA276:BA339" si="302">IMABS(AZ276)</f>
        <v>6.00803150834283</v>
      </c>
      <c r="BB276">
        <f t="shared" ref="BB276:BB339" si="303">IMARGUMENT(AZ276)</f>
        <v>1.40357420291092</v>
      </c>
      <c r="BC276" s="30" t="str">
        <f t="shared" ref="BC276:BC339" si="304">IMPRODUCT(AS276,IMDIV(AZ276,IMPRODUCT(AT276,AW276)))</f>
        <v>-0,290682067866836+0,278216970139897i</v>
      </c>
      <c r="BD276" s="32">
        <f t="shared" ref="BD276:BD339" si="305">20*LOG(IMABS(BC276))</f>
        <v>-7.90751147291602</v>
      </c>
      <c r="BE276" s="31">
        <f t="shared" ref="BE276:BE339" si="306">(180/PI())*IMARGUMENT(BC276)</f>
        <v>136.255202036908</v>
      </c>
      <c r="BF276" s="30" t="str">
        <f t="shared" ref="BF276:BF339" si="307">IMPRODUCT(AC276,BC276)</f>
        <v>0,798705479535497+0,474970711403865i</v>
      </c>
      <c r="BG276" s="68">
        <f t="shared" ref="BG276:BG339" si="308">20*LOG(IMABS(BF276))</f>
        <v>-0.637237670656489</v>
      </c>
      <c r="BH276" s="31">
        <f t="shared" ref="BH276:BH339" si="309">(180/PI())*IMARGUMENT(BF276)</f>
        <v>30.7389192676407</v>
      </c>
      <c r="BI276" s="30" t="str">
        <f t="shared" si="263"/>
        <v>3,69982056493505+5,49700956530505i</v>
      </c>
      <c r="BJ276" s="68">
        <f t="shared" ref="BJ276:BJ339" si="310">20*LOG(IMABS(BI276))</f>
        <v>16.4252175998239</v>
      </c>
      <c r="BK276" s="31">
        <f t="shared" si="264"/>
        <v>56.0570565719945</v>
      </c>
      <c r="BL276" s="32">
        <f t="shared" ref="BL276:BL339" si="311">IF($B$31=0,BJ276,BG276)</f>
        <v>-0.637237670656489</v>
      </c>
      <c r="BM276" s="31">
        <f t="shared" ref="BM276:BM339" si="312">IF($B$31=0,BK276,BH276)</f>
        <v>30.7389192676407</v>
      </c>
      <c r="BO276">
        <f t="shared" ref="BO276:BO339" si="313">SUM((BL277&lt;0)*(BL276&gt;0))*O276</f>
        <v>0</v>
      </c>
      <c r="BP276">
        <f t="shared" ref="BP276:BP339" si="314">IF(BO276&gt;0,BM276,0)</f>
        <v>0</v>
      </c>
    </row>
    <row r="277" spans="14:68">
      <c r="N277" s="7">
        <v>59</v>
      </c>
      <c r="O277" s="18">
        <f t="shared" si="262"/>
        <v>3890.45144994281</v>
      </c>
      <c r="P277" s="86" t="str">
        <f t="shared" si="265"/>
        <v>15</v>
      </c>
      <c r="Q277" s="4" t="str">
        <f t="shared" si="266"/>
        <v>1+7,12962465500139i</v>
      </c>
      <c r="R277" s="4">
        <f t="shared" si="277"/>
        <v>7.1994130122673</v>
      </c>
      <c r="S277" s="4">
        <f t="shared" si="278"/>
        <v>1.43144555121236</v>
      </c>
      <c r="T277" s="4" t="str">
        <f t="shared" si="267"/>
        <v>1+0,00488888547771524i</v>
      </c>
      <c r="U277" s="4">
        <f t="shared" si="279"/>
        <v>1.0000119505292</v>
      </c>
      <c r="V277" s="4">
        <f t="shared" si="280"/>
        <v>0.0048888465281953</v>
      </c>
      <c r="W277" t="str">
        <f t="shared" si="268"/>
        <v>1-0,427777479300084i</v>
      </c>
      <c r="X277" s="4">
        <f t="shared" si="281"/>
        <v>1.08765507942377</v>
      </c>
      <c r="Y277" s="4">
        <f t="shared" si="282"/>
        <v>-0.404220843267026</v>
      </c>
      <c r="Z277" t="str">
        <f t="shared" si="269"/>
        <v>0,999892368977889+0,0226983968608207i</v>
      </c>
      <c r="AA277" s="4">
        <f t="shared" si="283"/>
        <v>1.00014997213431</v>
      </c>
      <c r="AB277" s="4">
        <f t="shared" si="284"/>
        <v>0.0226969419200923</v>
      </c>
      <c r="AC277" s="67" t="str">
        <f t="shared" si="285"/>
        <v>-0,632001842356375-2,1758939332734i</v>
      </c>
      <c r="AD277" s="68">
        <f t="shared" si="286"/>
        <v>7.10450851191134</v>
      </c>
      <c r="AE277" s="31">
        <f t="shared" si="287"/>
        <v>-106.196265704787</v>
      </c>
      <c r="AF277" s="32" t="str">
        <f t="shared" si="288"/>
        <v>75,4669735059805</v>
      </c>
      <c r="AG277" s="32" t="str">
        <f t="shared" si="270"/>
        <v>1+4,58333013535804i</v>
      </c>
      <c r="AH277" s="32">
        <f t="shared" si="289"/>
        <v>4.69115285720697</v>
      </c>
      <c r="AI277" s="32">
        <f t="shared" si="290"/>
        <v>1.3559807810765</v>
      </c>
      <c r="AJ277" s="32" t="str">
        <f t="shared" si="271"/>
        <v>1+0,00488888547771524i</v>
      </c>
      <c r="AK277" s="32">
        <f t="shared" si="291"/>
        <v>1.0000119505292</v>
      </c>
      <c r="AL277" s="32">
        <f t="shared" si="292"/>
        <v>0.0048888465281953</v>
      </c>
      <c r="AM277" s="32" t="str">
        <f t="shared" si="272"/>
        <v>1-0,054659401311914i</v>
      </c>
      <c r="AN277" s="32">
        <f t="shared" si="293"/>
        <v>1.00149271098285</v>
      </c>
      <c r="AO277" s="32">
        <f t="shared" si="294"/>
        <v>-0.054605064293166</v>
      </c>
      <c r="AP277" s="30" t="str">
        <f t="shared" si="295"/>
        <v>2,64789559605154-15,8922098805033i</v>
      </c>
      <c r="AQ277" s="32">
        <f t="shared" si="296"/>
        <v>24.142606641849</v>
      </c>
      <c r="AR277" s="31">
        <f t="shared" si="297"/>
        <v>-80.5405053078223</v>
      </c>
      <c r="AS277" t="str">
        <f t="shared" si="273"/>
        <v>-0,000338461538461538</v>
      </c>
      <c r="AT277" t="str">
        <f t="shared" si="274"/>
        <v>0,00427909479207982i</v>
      </c>
      <c r="AU277">
        <f t="shared" si="298"/>
        <v>0.00427909479207982</v>
      </c>
      <c r="AV277">
        <f t="shared" si="299"/>
        <v>1.5707963267949</v>
      </c>
      <c r="AW277" t="str">
        <f t="shared" si="275"/>
        <v>1+0,694481243610118i</v>
      </c>
      <c r="AX277">
        <f t="shared" si="300"/>
        <v>1.21749915717682</v>
      </c>
      <c r="AY277">
        <f t="shared" si="301"/>
        <v>0.607012490124743</v>
      </c>
      <c r="AZ277" t="str">
        <f t="shared" si="276"/>
        <v>1+6,0622179923669i</v>
      </c>
      <c r="BA277">
        <f t="shared" si="302"/>
        <v>6.14414249403259</v>
      </c>
      <c r="BB277">
        <f t="shared" si="303"/>
        <v>1.40731241865798</v>
      </c>
      <c r="BC277" s="30" t="str">
        <f t="shared" si="304"/>
        <v>-0,286425240828436+0,27801348485013i</v>
      </c>
      <c r="BD277" s="32">
        <f t="shared" si="305"/>
        <v>-7.97699946144568</v>
      </c>
      <c r="BE277" s="31">
        <f t="shared" si="306"/>
        <v>135.853808249576</v>
      </c>
      <c r="BF277" s="30" t="str">
        <f t="shared" si="307"/>
        <v>0,785949134954534+0,447525909229768i</v>
      </c>
      <c r="BG277" s="68">
        <f t="shared" si="308"/>
        <v>-0.872490949534345</v>
      </c>
      <c r="BH277" s="31">
        <f t="shared" si="309"/>
        <v>29.6575425447887</v>
      </c>
      <c r="BI277" s="30" t="str">
        <f t="shared" si="263"/>
        <v>3,65982451706077+5,28808072449681i</v>
      </c>
      <c r="BJ277" s="68">
        <f t="shared" si="310"/>
        <v>16.1656071804033</v>
      </c>
      <c r="BK277" s="31">
        <f t="shared" si="264"/>
        <v>55.3133029417539</v>
      </c>
      <c r="BL277" s="32">
        <f t="shared" si="311"/>
        <v>-0.872490949534345</v>
      </c>
      <c r="BM277" s="31">
        <f t="shared" si="312"/>
        <v>29.6575425447887</v>
      </c>
      <c r="BO277">
        <f t="shared" si="313"/>
        <v>0</v>
      </c>
      <c r="BP277">
        <f t="shared" si="314"/>
        <v>0</v>
      </c>
    </row>
    <row r="278" spans="14:68">
      <c r="N278" s="7">
        <v>60</v>
      </c>
      <c r="O278" s="18">
        <f t="shared" si="262"/>
        <v>3981.07170553498</v>
      </c>
      <c r="P278" s="86" t="str">
        <f t="shared" si="265"/>
        <v>15</v>
      </c>
      <c r="Q278" s="4" t="str">
        <f t="shared" si="266"/>
        <v>1+7,29569494705499i</v>
      </c>
      <c r="R278" s="4">
        <f t="shared" si="277"/>
        <v>7.36390961110223</v>
      </c>
      <c r="S278" s="4">
        <f t="shared" si="278"/>
        <v>1.43457802266587</v>
      </c>
      <c r="T278" s="4" t="str">
        <f t="shared" si="267"/>
        <v>1+0,00500276224940914i</v>
      </c>
      <c r="U278" s="4">
        <f t="shared" si="279"/>
        <v>1.00001251373677</v>
      </c>
      <c r="V278" s="4">
        <f t="shared" si="280"/>
        <v>0.0050027205142748</v>
      </c>
      <c r="W278" t="str">
        <f t="shared" si="268"/>
        <v>1-0,4377416968233i</v>
      </c>
      <c r="X278" s="4">
        <f t="shared" si="281"/>
        <v>1.09161247388336</v>
      </c>
      <c r="Y278" s="4">
        <f t="shared" si="282"/>
        <v>-0.412613290432762</v>
      </c>
      <c r="Z278" t="str">
        <f t="shared" si="269"/>
        <v>0,999887296484092+0,0232271104436852i</v>
      </c>
      <c r="AA278" s="4">
        <f t="shared" si="283"/>
        <v>1.00015703983416</v>
      </c>
      <c r="AB278" s="4">
        <f t="shared" si="284"/>
        <v>0.0232255514571722</v>
      </c>
      <c r="AC278" s="67" t="str">
        <f t="shared" si="285"/>
        <v>-0,64557469399302-2,12745840732675i</v>
      </c>
      <c r="AD278" s="68">
        <f t="shared" si="286"/>
        <v>6.93977076255256</v>
      </c>
      <c r="AE278" s="31">
        <f t="shared" si="287"/>
        <v>-106.880357497588</v>
      </c>
      <c r="AF278" s="32" t="str">
        <f t="shared" si="288"/>
        <v>75,4669735059805</v>
      </c>
      <c r="AG278" s="32" t="str">
        <f t="shared" si="270"/>
        <v>1+4,69008960882107i</v>
      </c>
      <c r="AH278" s="32">
        <f t="shared" si="289"/>
        <v>4.79551254182193</v>
      </c>
      <c r="AI278" s="32">
        <f t="shared" si="290"/>
        <v>1.36072640630206</v>
      </c>
      <c r="AJ278" s="32" t="str">
        <f t="shared" si="271"/>
        <v>1+0,00500276224940914i</v>
      </c>
      <c r="AK278" s="32">
        <f t="shared" si="291"/>
        <v>1.00001251373677</v>
      </c>
      <c r="AL278" s="32">
        <f t="shared" si="292"/>
        <v>0.0050027205142748</v>
      </c>
      <c r="AM278" s="32" t="str">
        <f t="shared" si="272"/>
        <v>1-0,055932582324743i</v>
      </c>
      <c r="AN278" s="32">
        <f t="shared" si="293"/>
        <v>1.00156300538983</v>
      </c>
      <c r="AO278" s="32">
        <f t="shared" si="294"/>
        <v>-0.0558743640663486</v>
      </c>
      <c r="AP278" s="30" t="str">
        <f t="shared" si="295"/>
        <v>2,49866455349116-15,562480040548i</v>
      </c>
      <c r="AQ278" s="32">
        <f t="shared" si="296"/>
        <v>23.9521122346165</v>
      </c>
      <c r="AR278" s="31">
        <f t="shared" si="297"/>
        <v>-80.8786106255392</v>
      </c>
      <c r="AS278" t="str">
        <f t="shared" si="273"/>
        <v>-0,000338461538461538</v>
      </c>
      <c r="AT278" t="str">
        <f t="shared" si="274"/>
        <v>0,00437876771404035i</v>
      </c>
      <c r="AU278">
        <f t="shared" si="298"/>
        <v>0.00437876771404035</v>
      </c>
      <c r="AV278">
        <f t="shared" si="299"/>
        <v>1.5707963267949</v>
      </c>
      <c r="AW278" t="str">
        <f t="shared" si="275"/>
        <v>1+0,710657789856656i</v>
      </c>
      <c r="AX278">
        <f t="shared" si="300"/>
        <v>1.22679847337855</v>
      </c>
      <c r="AY278">
        <f t="shared" si="301"/>
        <v>0.617843087171438</v>
      </c>
      <c r="AZ278" t="str">
        <f t="shared" si="276"/>
        <v>1+6,20342518926733i</v>
      </c>
      <c r="BA278">
        <f t="shared" si="302"/>
        <v>6.28350889860406</v>
      </c>
      <c r="BB278">
        <f t="shared" si="303"/>
        <v>1.41097000246993</v>
      </c>
      <c r="BC278" s="30" t="str">
        <f t="shared" si="304"/>
        <v>-0,282099405978559+0,27777221099454i</v>
      </c>
      <c r="BD278" s="32">
        <f t="shared" si="305"/>
        <v>-8.0482715096185</v>
      </c>
      <c r="BE278" s="31">
        <f t="shared" si="306"/>
        <v>135.442824864834</v>
      </c>
      <c r="BF278" s="30" t="str">
        <f t="shared" si="307"/>
        <v>0,773065063292295+0,420832042838403i</v>
      </c>
      <c r="BG278" s="68">
        <f t="shared" si="308"/>
        <v>-1.10850074706594</v>
      </c>
      <c r="BH278" s="31">
        <f t="shared" si="309"/>
        <v>28.5624673672453</v>
      </c>
      <c r="BI278" s="30" t="str">
        <f t="shared" si="263"/>
        <v>3,61795270314188+5,0842259525487i</v>
      </c>
      <c r="BJ278" s="68">
        <f t="shared" si="310"/>
        <v>15.9038407249981</v>
      </c>
      <c r="BK278" s="31">
        <f t="shared" si="264"/>
        <v>54.5642142392945</v>
      </c>
      <c r="BL278" s="32">
        <f t="shared" si="311"/>
        <v>-1.10850074706594</v>
      </c>
      <c r="BM278" s="31">
        <f t="shared" si="312"/>
        <v>28.5624673672453</v>
      </c>
      <c r="BO278">
        <f t="shared" si="313"/>
        <v>0</v>
      </c>
      <c r="BP278">
        <f t="shared" si="314"/>
        <v>0</v>
      </c>
    </row>
    <row r="279" spans="14:68">
      <c r="N279" s="7">
        <v>61</v>
      </c>
      <c r="O279" s="18">
        <f t="shared" si="262"/>
        <v>4073.80277804113</v>
      </c>
      <c r="P279" s="86" t="str">
        <f t="shared" si="265"/>
        <v>15</v>
      </c>
      <c r="Q279" s="4" t="str">
        <f t="shared" si="266"/>
        <v>1+7,46563351313949i</v>
      </c>
      <c r="R279" s="4">
        <f t="shared" si="277"/>
        <v>7.53230932400625</v>
      </c>
      <c r="S279" s="4">
        <f t="shared" si="278"/>
        <v>1.43764179177624</v>
      </c>
      <c r="T279" s="4" t="str">
        <f t="shared" si="267"/>
        <v>1+0,00511929155186708i</v>
      </c>
      <c r="U279" s="4">
        <f t="shared" si="279"/>
        <v>1.00001310348715</v>
      </c>
      <c r="V279" s="4">
        <f t="shared" si="280"/>
        <v>0.00511924683189657</v>
      </c>
      <c r="W279" t="str">
        <f t="shared" si="268"/>
        <v>1-0,44793801078837i</v>
      </c>
      <c r="X279" s="4">
        <f t="shared" si="281"/>
        <v>1.09574105586541</v>
      </c>
      <c r="Y279" s="4">
        <f t="shared" si="282"/>
        <v>-0.421137851684164</v>
      </c>
      <c r="Z279" t="str">
        <f t="shared" si="269"/>
        <v>0,999881984931027+0,0237681393479542i</v>
      </c>
      <c r="AA279" s="4">
        <f t="shared" si="283"/>
        <v>1.00016444059848</v>
      </c>
      <c r="AB279" s="4">
        <f t="shared" si="284"/>
        <v>0.0237664688756634</v>
      </c>
      <c r="AC279" s="67" t="str">
        <f t="shared" si="285"/>
        <v>-0,658557524632126-2,07998619503129i</v>
      </c>
      <c r="AD279" s="68">
        <f t="shared" si="286"/>
        <v>6.77610655591642</v>
      </c>
      <c r="AE279" s="31">
        <f t="shared" si="287"/>
        <v>-107.568635737864</v>
      </c>
      <c r="AF279" s="32" t="str">
        <f t="shared" si="288"/>
        <v>75,4669735059805</v>
      </c>
      <c r="AG279" s="32" t="str">
        <f t="shared" si="270"/>
        <v>1+4,79933582987539i</v>
      </c>
      <c r="AH279" s="32">
        <f t="shared" si="289"/>
        <v>4.90241006117661</v>
      </c>
      <c r="AI279" s="32">
        <f t="shared" si="290"/>
        <v>1.36537330623185</v>
      </c>
      <c r="AJ279" s="32" t="str">
        <f t="shared" si="271"/>
        <v>1+0,00511929155186708i</v>
      </c>
      <c r="AK279" s="32">
        <f t="shared" si="291"/>
        <v>1.00001310348715</v>
      </c>
      <c r="AL279" s="32">
        <f t="shared" si="292"/>
        <v>0.00511924683189657</v>
      </c>
      <c r="AM279" s="32" t="str">
        <f t="shared" si="272"/>
        <v>1-0,0572354195330759i</v>
      </c>
      <c r="AN279" s="32">
        <f t="shared" si="293"/>
        <v>1.0016366073827</v>
      </c>
      <c r="AO279" s="32">
        <f t="shared" si="294"/>
        <v>-0.0571730430489869</v>
      </c>
      <c r="AP279" s="30" t="str">
        <f t="shared" si="295"/>
        <v>2,35557791802196-15,2382559516182i</v>
      </c>
      <c r="AQ279" s="32">
        <f t="shared" si="296"/>
        <v>23.761263559393</v>
      </c>
      <c r="AR279" s="31">
        <f t="shared" si="297"/>
        <v>-81.2125907377814</v>
      </c>
      <c r="AS279" t="str">
        <f t="shared" si="273"/>
        <v>-0,000338461538461538</v>
      </c>
      <c r="AT279" t="str">
        <f t="shared" si="274"/>
        <v>0,0044807623166027i</v>
      </c>
      <c r="AU279">
        <f t="shared" si="298"/>
        <v>0.0044807623166027</v>
      </c>
      <c r="AV279">
        <f t="shared" si="299"/>
        <v>1.5707963267949</v>
      </c>
      <c r="AW279" t="str">
        <f t="shared" si="275"/>
        <v>1+0,727211136270045i</v>
      </c>
      <c r="AX279">
        <f t="shared" si="300"/>
        <v>1.23646109389466</v>
      </c>
      <c r="AY279">
        <f t="shared" si="301"/>
        <v>0.628756001390213</v>
      </c>
      <c r="AZ279" t="str">
        <f t="shared" si="276"/>
        <v>1+6,34792152431518i</v>
      </c>
      <c r="BA279">
        <f t="shared" si="302"/>
        <v>6.42620476477866</v>
      </c>
      <c r="BB279">
        <f t="shared" si="303"/>
        <v>1.41454850200055</v>
      </c>
      <c r="BC279" s="30" t="str">
        <f t="shared" si="304"/>
        <v>-0,277707567468756+0,277488632935134i</v>
      </c>
      <c r="BD279" s="32">
        <f t="shared" si="305"/>
        <v>-8.12136957578545</v>
      </c>
      <c r="BE279" s="31">
        <f t="shared" si="306"/>
        <v>135.022593858003</v>
      </c>
      <c r="BF279" s="30" t="str">
        <f t="shared" si="307"/>
        <v>0,760058933987017+0,394885679371419i</v>
      </c>
      <c r="BG279" s="68">
        <f t="shared" si="308"/>
        <v>-1.34526301986903</v>
      </c>
      <c r="BH279" s="31">
        <f t="shared" si="309"/>
        <v>27.4539581201393</v>
      </c>
      <c r="BI279" s="30" t="str">
        <f t="shared" si="263"/>
        <v>3,57428099873321+4,88542508903429i</v>
      </c>
      <c r="BJ279" s="68">
        <f t="shared" si="310"/>
        <v>15.6398939836076</v>
      </c>
      <c r="BK279" s="31">
        <f t="shared" si="264"/>
        <v>53.8100031202221</v>
      </c>
      <c r="BL279" s="32">
        <f t="shared" si="311"/>
        <v>-1.34526301986903</v>
      </c>
      <c r="BM279" s="31">
        <f t="shared" si="312"/>
        <v>27.4539581201393</v>
      </c>
      <c r="BO279">
        <f t="shared" si="313"/>
        <v>0</v>
      </c>
      <c r="BP279">
        <f t="shared" si="314"/>
        <v>0</v>
      </c>
    </row>
    <row r="280" spans="14:68">
      <c r="N280" s="7">
        <v>62</v>
      </c>
      <c r="O280" s="18">
        <f t="shared" si="262"/>
        <v>4168.69383470336</v>
      </c>
      <c r="P280" s="86" t="str">
        <f t="shared" si="265"/>
        <v>15</v>
      </c>
      <c r="Q280" s="4" t="str">
        <f t="shared" si="266"/>
        <v>1+7,639530456932i</v>
      </c>
      <c r="R280" s="4">
        <f t="shared" si="277"/>
        <v>7.70470152584717</v>
      </c>
      <c r="S280" s="4">
        <f t="shared" si="278"/>
        <v>1.44063825280405</v>
      </c>
      <c r="T280" s="4" t="str">
        <f t="shared" si="267"/>
        <v>1+0,00523853517046766i</v>
      </c>
      <c r="U280" s="4">
        <f t="shared" si="279"/>
        <v>1.00001372103123</v>
      </c>
      <c r="V280" s="4">
        <f t="shared" si="280"/>
        <v>0.00523848725219144</v>
      </c>
      <c r="W280" t="str">
        <f t="shared" si="268"/>
        <v>1-0,458371827415921i</v>
      </c>
      <c r="X280" s="4">
        <f t="shared" si="281"/>
        <v>1.1000476045011</v>
      </c>
      <c r="Y280" s="4">
        <f t="shared" si="282"/>
        <v>-0.429794090098533</v>
      </c>
      <c r="Z280" t="str">
        <f t="shared" si="269"/>
        <v>0,999876423052178+0,0243217704343141i</v>
      </c>
      <c r="AA280" s="4">
        <f t="shared" si="283"/>
        <v>1.00017219012162</v>
      </c>
      <c r="AB280" s="4">
        <f t="shared" si="284"/>
        <v>0.0243199805043064</v>
      </c>
      <c r="AC280" s="67" t="str">
        <f t="shared" si="285"/>
        <v>-0,670974941778423-2,0334627377236i</v>
      </c>
      <c r="AD280" s="68">
        <f t="shared" si="286"/>
        <v>6.6135620737352</v>
      </c>
      <c r="AE280" s="31">
        <f t="shared" si="287"/>
        <v>-108.261168143238</v>
      </c>
      <c r="AF280" s="32" t="str">
        <f t="shared" si="288"/>
        <v>75,4669735059805</v>
      </c>
      <c r="AG280" s="32" t="str">
        <f t="shared" si="270"/>
        <v>1+4,91112672231343i</v>
      </c>
      <c r="AH280" s="32">
        <f t="shared" si="289"/>
        <v>5.01190240154585</v>
      </c>
      <c r="AI280" s="32">
        <f t="shared" si="290"/>
        <v>1.36992314158996</v>
      </c>
      <c r="AJ280" s="32" t="str">
        <f t="shared" si="271"/>
        <v>1+0,00523853517046766i</v>
      </c>
      <c r="AK280" s="32">
        <f t="shared" si="291"/>
        <v>1.00001372103123</v>
      </c>
      <c r="AL280" s="32">
        <f t="shared" si="292"/>
        <v>0.00523848725219144</v>
      </c>
      <c r="AM280" s="32" t="str">
        <f t="shared" si="272"/>
        <v>1-0,0585686037184457i</v>
      </c>
      <c r="AN280" s="32">
        <f t="shared" si="293"/>
        <v>1.00171367233433</v>
      </c>
      <c r="AO280" s="32">
        <f t="shared" si="294"/>
        <v>-0.0585017722854748</v>
      </c>
      <c r="AP280" s="30" t="str">
        <f t="shared" si="295"/>
        <v>2,21840640669189-14,9195338550382i</v>
      </c>
      <c r="AQ280" s="32">
        <f t="shared" si="296"/>
        <v>23.5700777749584</v>
      </c>
      <c r="AR280" s="31">
        <f t="shared" si="297"/>
        <v>-81.5425757058169</v>
      </c>
      <c r="AS280" t="str">
        <f t="shared" si="273"/>
        <v>-0,000338461538461538</v>
      </c>
      <c r="AT280" t="str">
        <f t="shared" si="274"/>
        <v>0,00458513267865522i</v>
      </c>
      <c r="AU280">
        <f t="shared" si="298"/>
        <v>0.00458513267865522</v>
      </c>
      <c r="AV280">
        <f t="shared" si="299"/>
        <v>1.5707963267949</v>
      </c>
      <c r="AW280" t="str">
        <f t="shared" si="275"/>
        <v>1+0,744150059653663i</v>
      </c>
      <c r="AX280">
        <f t="shared" si="300"/>
        <v>1.24649882121186</v>
      </c>
      <c r="AY280">
        <f t="shared" si="301"/>
        <v>0.639746622072279</v>
      </c>
      <c r="AZ280" t="str">
        <f t="shared" si="276"/>
        <v>1+6,4957836113799i</v>
      </c>
      <c r="BA280">
        <f t="shared" si="302"/>
        <v>6.57230589107595</v>
      </c>
      <c r="BB280">
        <f t="shared" si="303"/>
        <v>1.41804944783018</v>
      </c>
      <c r="BC280" s="30" t="str">
        <f t="shared" si="304"/>
        <v>-0,273252963783872+0,277158383672852i</v>
      </c>
      <c r="BD280" s="32">
        <f t="shared" si="305"/>
        <v>-8.19633373691016</v>
      </c>
      <c r="BE280" s="31">
        <f t="shared" si="306"/>
        <v>134.593467099033</v>
      </c>
      <c r="BF280" s="30" t="str">
        <f t="shared" si="307"/>
        <v>0,746937137112111+0,369683389478746i</v>
      </c>
      <c r="BG280" s="68">
        <f t="shared" si="308"/>
        <v>-1.58277166317496</v>
      </c>
      <c r="BH280" s="31">
        <f t="shared" si="309"/>
        <v>26.3322989557951</v>
      </c>
      <c r="BI280" s="30" t="str">
        <f t="shared" si="263"/>
        <v>3,52888776290909+4,69165677817123i</v>
      </c>
      <c r="BJ280" s="68">
        <f t="shared" si="310"/>
        <v>15.3737440380482</v>
      </c>
      <c r="BK280" s="31">
        <f t="shared" si="264"/>
        <v>53.0508913932165</v>
      </c>
      <c r="BL280" s="32">
        <f t="shared" si="311"/>
        <v>-1.58277166317496</v>
      </c>
      <c r="BM280" s="31">
        <f t="shared" si="312"/>
        <v>26.3322989557951</v>
      </c>
      <c r="BO280">
        <f t="shared" si="313"/>
        <v>0</v>
      </c>
      <c r="BP280">
        <f t="shared" si="314"/>
        <v>0</v>
      </c>
    </row>
    <row r="281" spans="14:68">
      <c r="N281" s="7">
        <v>63</v>
      </c>
      <c r="O281" s="18">
        <f t="shared" si="262"/>
        <v>4265.79518801593</v>
      </c>
      <c r="P281" s="86" t="str">
        <f t="shared" si="265"/>
        <v>15</v>
      </c>
      <c r="Q281" s="4" t="str">
        <f t="shared" si="266"/>
        <v>1+7,8174779808939i</v>
      </c>
      <c r="R281" s="4">
        <f t="shared" si="277"/>
        <v>7.88117770271429</v>
      </c>
      <c r="S281" s="4">
        <f t="shared" si="278"/>
        <v>1.44356877916215</v>
      </c>
      <c r="T281" s="4" t="str">
        <f t="shared" si="267"/>
        <v>1+0,00536055632975582i</v>
      </c>
      <c r="U281" s="4">
        <f t="shared" si="279"/>
        <v>1.00001436767887</v>
      </c>
      <c r="V281" s="4">
        <f t="shared" si="280"/>
        <v>0.00536050498443762</v>
      </c>
      <c r="W281" t="str">
        <f t="shared" si="268"/>
        <v>1-0,469048678853635i</v>
      </c>
      <c r="X281" s="4">
        <f t="shared" si="281"/>
        <v>1.1045391179738</v>
      </c>
      <c r="Y281" s="4">
        <f t="shared" si="282"/>
        <v>-0.438581405364384</v>
      </c>
      <c r="Z281" t="str">
        <f t="shared" si="269"/>
        <v>0,999870599050054+0,0248882972452948i</v>
      </c>
      <c r="AA281" s="4">
        <f t="shared" si="283"/>
        <v>1.00018030483732</v>
      </c>
      <c r="AB281" s="4">
        <f t="shared" si="284"/>
        <v>0.0248863793156599</v>
      </c>
      <c r="AC281" s="67" t="str">
        <f t="shared" si="285"/>
        <v>-0,682850602803865-1,98787331230513i</v>
      </c>
      <c r="AD281" s="68">
        <f t="shared" si="286"/>
        <v>6.4521836361214</v>
      </c>
      <c r="AE281" s="31">
        <f t="shared" si="287"/>
        <v>-108.958012173621</v>
      </c>
      <c r="AF281" s="32" t="str">
        <f t="shared" si="288"/>
        <v>75,4669735059805</v>
      </c>
      <c r="AG281" s="32" t="str">
        <f t="shared" si="270"/>
        <v>1+5,02552155914608i</v>
      </c>
      <c r="AH281" s="32">
        <f t="shared" si="289"/>
        <v>5.12404790584964</v>
      </c>
      <c r="AI281" s="32">
        <f t="shared" si="290"/>
        <v>1.3743775709153</v>
      </c>
      <c r="AJ281" s="32" t="str">
        <f t="shared" si="271"/>
        <v>1+0,00536055632975582i</v>
      </c>
      <c r="AK281" s="32">
        <f t="shared" si="291"/>
        <v>1.00001436767887</v>
      </c>
      <c r="AL281" s="32">
        <f t="shared" si="292"/>
        <v>0.00536050498443762</v>
      </c>
      <c r="AM281" s="32" t="str">
        <f t="shared" si="272"/>
        <v>1-0,0599328417527539i</v>
      </c>
      <c r="AN281" s="32">
        <f t="shared" si="293"/>
        <v>1.00179436289119</v>
      </c>
      <c r="AO281" s="32">
        <f t="shared" si="294"/>
        <v>-0.059861237507826</v>
      </c>
      <c r="AP281" s="30" t="str">
        <f t="shared" si="295"/>
        <v>2,08692727397472-14,6063032259081i</v>
      </c>
      <c r="AQ281" s="32">
        <f t="shared" si="296"/>
        <v>23.3785715104049</v>
      </c>
      <c r="AR281" s="31">
        <f t="shared" si="297"/>
        <v>-81.8686962248504</v>
      </c>
      <c r="AS281" t="str">
        <f t="shared" si="273"/>
        <v>-0,000338461538461538</v>
      </c>
      <c r="AT281" t="str">
        <f t="shared" si="274"/>
        <v>0,00469193413874537i</v>
      </c>
      <c r="AU281">
        <f t="shared" si="298"/>
        <v>0.00469193413874537</v>
      </c>
      <c r="AV281">
        <f t="shared" si="299"/>
        <v>1.5707963267949</v>
      </c>
      <c r="AW281" t="str">
        <f t="shared" si="275"/>
        <v>1+0,761483541248898i</v>
      </c>
      <c r="AX281">
        <f t="shared" si="300"/>
        <v>1.25692369839739</v>
      </c>
      <c r="AY281">
        <f t="shared" si="301"/>
        <v>0.650810156118993</v>
      </c>
      <c r="AZ281" t="str">
        <f t="shared" si="276"/>
        <v>1+6,64708984889721i</v>
      </c>
      <c r="BA281">
        <f t="shared" si="302"/>
        <v>6.72188987259627</v>
      </c>
      <c r="BB281">
        <f t="shared" si="303"/>
        <v>1.42147435275232</v>
      </c>
      <c r="BC281" s="30" t="str">
        <f t="shared" si="304"/>
        <v>-0,268739061494898+0,276777262561674i</v>
      </c>
      <c r="BD281" s="32">
        <f t="shared" si="305"/>
        <v>-8.27320209425176</v>
      </c>
      <c r="BE281" s="31">
        <f t="shared" si="306"/>
        <v>134.15580588893</v>
      </c>
      <c r="BF281" s="30" t="str">
        <f t="shared" si="307"/>
        <v>0,733706763837958+0,345221687736992i</v>
      </c>
      <c r="BG281" s="68">
        <f t="shared" si="308"/>
        <v>-1.82101845813036</v>
      </c>
      <c r="BH281" s="31">
        <f t="shared" si="309"/>
        <v>25.1977937153089</v>
      </c>
      <c r="BI281" s="30" t="str">
        <f t="shared" si="263"/>
        <v>3,48185374599652+4,50289823889646i</v>
      </c>
      <c r="BJ281" s="68">
        <f t="shared" si="310"/>
        <v>15.1053694161531</v>
      </c>
      <c r="BK281" s="31">
        <f t="shared" si="264"/>
        <v>52.2871096640796</v>
      </c>
      <c r="BL281" s="32">
        <f t="shared" si="311"/>
        <v>-1.82101845813036</v>
      </c>
      <c r="BM281" s="31">
        <f t="shared" si="312"/>
        <v>25.1977937153089</v>
      </c>
      <c r="BO281">
        <f t="shared" si="313"/>
        <v>0</v>
      </c>
      <c r="BP281">
        <f t="shared" si="314"/>
        <v>0</v>
      </c>
    </row>
    <row r="282" spans="14:68">
      <c r="N282" s="7">
        <v>64</v>
      </c>
      <c r="O282" s="18">
        <f t="shared" si="262"/>
        <v>4365.15832240166</v>
      </c>
      <c r="P282" s="86" t="str">
        <f t="shared" si="265"/>
        <v>15</v>
      </c>
      <c r="Q282" s="4" t="str">
        <f t="shared" si="266"/>
        <v>1+7,99957043515781i</v>
      </c>
      <c r="R282" s="4">
        <f t="shared" si="277"/>
        <v>8.0618315007851</v>
      </c>
      <c r="S282" s="4">
        <f t="shared" si="278"/>
        <v>1.44643472320884</v>
      </c>
      <c r="T282" s="4" t="str">
        <f t="shared" si="267"/>
        <v>1+0,00548541972696536i</v>
      </c>
      <c r="U282" s="4">
        <f t="shared" si="279"/>
        <v>1.00001504480162</v>
      </c>
      <c r="V282" s="4">
        <f t="shared" si="280"/>
        <v>0.00548536470951038</v>
      </c>
      <c r="W282" t="str">
        <f t="shared" si="268"/>
        <v>1-0,479974226109469i</v>
      </c>
      <c r="X282" s="4">
        <f t="shared" si="281"/>
        <v>1.10922281698917</v>
      </c>
      <c r="Y282" s="4">
        <f t="shared" si="282"/>
        <v>-0.447499027376219</v>
      </c>
      <c r="Z282" t="str">
        <f t="shared" si="269"/>
        <v>0,999864500571167+0,0254680201609105i</v>
      </c>
      <c r="AA282" s="4">
        <f t="shared" si="283"/>
        <v>1.00018880195358</v>
      </c>
      <c r="AB282" s="4">
        <f t="shared" si="284"/>
        <v>0.0254659650790245</v>
      </c>
      <c r="AC282" s="67" t="str">
        <f t="shared" si="285"/>
        <v>-0,694207244296359-1,94320306374744i</v>
      </c>
      <c r="AD282" s="68">
        <f t="shared" si="286"/>
        <v>6.29201765466767</v>
      </c>
      <c r="AE282" s="31">
        <f t="shared" si="287"/>
        <v>-109.659214659217</v>
      </c>
      <c r="AF282" s="32" t="str">
        <f t="shared" si="288"/>
        <v>75,4669735059805</v>
      </c>
      <c r="AG282" s="32" t="str">
        <f t="shared" si="270"/>
        <v>1+5,14258099403003i</v>
      </c>
      <c r="AH282" s="32">
        <f t="shared" si="289"/>
        <v>5.2389063057244</v>
      </c>
      <c r="AI282" s="32">
        <f t="shared" si="290"/>
        <v>1.37873824859308</v>
      </c>
      <c r="AJ282" s="32" t="str">
        <f t="shared" si="271"/>
        <v>1+0,00548541972696536i</v>
      </c>
      <c r="AK282" s="32">
        <f t="shared" si="291"/>
        <v>1.00001504480162</v>
      </c>
      <c r="AL282" s="32">
        <f t="shared" si="292"/>
        <v>0.00548536470951038</v>
      </c>
      <c r="AM282" s="32" t="str">
        <f t="shared" si="272"/>
        <v>1-0,0613288569730644i</v>
      </c>
      <c r="AN282" s="32">
        <f t="shared" si="293"/>
        <v>1.00187884931144</v>
      </c>
      <c r="AO282" s="32">
        <f t="shared" si="294"/>
        <v>-0.0612521394112164</v>
      </c>
      <c r="AP282" s="30" t="str">
        <f t="shared" si="295"/>
        <v>1,96092430504997-14,2985472610157i</v>
      </c>
      <c r="AQ282" s="32">
        <f t="shared" si="296"/>
        <v>23.1867608851537</v>
      </c>
      <c r="AR282" s="31">
        <f t="shared" si="297"/>
        <v>-82.1910835251069</v>
      </c>
      <c r="AS282" t="str">
        <f t="shared" si="273"/>
        <v>-0,000338461538461538</v>
      </c>
      <c r="AT282" t="str">
        <f t="shared" si="274"/>
        <v>0,00480122332442097i</v>
      </c>
      <c r="AU282">
        <f t="shared" si="298"/>
        <v>0.00480122332442097</v>
      </c>
      <c r="AV282">
        <f t="shared" si="299"/>
        <v>1.5707963267949</v>
      </c>
      <c r="AW282" t="str">
        <f t="shared" si="275"/>
        <v>1+0,779220771497129i</v>
      </c>
      <c r="AX282">
        <f t="shared" si="300"/>
        <v>1.26774800758376</v>
      </c>
      <c r="AY282">
        <f t="shared" si="301"/>
        <v>0.661941636399807</v>
      </c>
      <c r="AZ282" t="str">
        <f t="shared" si="276"/>
        <v>1+6,80192046143704i</v>
      </c>
      <c r="BA282">
        <f t="shared" si="302"/>
        <v>6.8750361427207</v>
      </c>
      <c r="BB282">
        <f t="shared" si="303"/>
        <v>1.42482471113878</v>
      </c>
      <c r="BC282" s="30" t="str">
        <f t="shared" si="304"/>
        <v>-0,264169547363572+0,27634125274952i</v>
      </c>
      <c r="BD282" s="32">
        <f t="shared" si="305"/>
        <v>-8.3520106820287</v>
      </c>
      <c r="BE282" s="31">
        <f t="shared" si="306"/>
        <v>133.709980444507</v>
      </c>
      <c r="BF282" s="30" t="str">
        <f t="shared" si="307"/>
        <v>0,720375582484955+0,32149697422902i</v>
      </c>
      <c r="BG282" s="68">
        <f t="shared" si="308"/>
        <v>-2.05999302736103</v>
      </c>
      <c r="BH282" s="31">
        <f t="shared" si="309"/>
        <v>24.0507657852894</v>
      </c>
      <c r="BI282" s="30" t="str">
        <f t="shared" si="263"/>
        <v>3,43326197652802+4,31912503690365i</v>
      </c>
      <c r="BJ282" s="68">
        <f t="shared" si="310"/>
        <v>14.834750203125</v>
      </c>
      <c r="BK282" s="31">
        <f t="shared" si="264"/>
        <v>51.5188969193997</v>
      </c>
      <c r="BL282" s="32">
        <f t="shared" si="311"/>
        <v>-2.05999302736103</v>
      </c>
      <c r="BM282" s="31">
        <f t="shared" si="312"/>
        <v>24.0507657852894</v>
      </c>
      <c r="BO282">
        <f t="shared" si="313"/>
        <v>0</v>
      </c>
      <c r="BP282">
        <f t="shared" si="314"/>
        <v>0</v>
      </c>
    </row>
    <row r="283" spans="14:68">
      <c r="N283" s="7">
        <v>65</v>
      </c>
      <c r="O283" s="18">
        <f t="shared" si="262"/>
        <v>4466.83592150963</v>
      </c>
      <c r="P283" s="86" t="str">
        <f t="shared" si="265"/>
        <v>15</v>
      </c>
      <c r="Q283" s="4" t="str">
        <f t="shared" si="266"/>
        <v>1+8,18590436755329i</v>
      </c>
      <c r="R283" s="4">
        <f t="shared" si="277"/>
        <v>8.24675877631497</v>
      </c>
      <c r="S283" s="4">
        <f t="shared" si="278"/>
        <v>1.4492374160866</v>
      </c>
      <c r="T283" s="4" t="str">
        <f t="shared" si="267"/>
        <v>1+0,00561319156632226i</v>
      </c>
      <c r="U283" s="4">
        <f t="shared" si="279"/>
        <v>1.00001575383569</v>
      </c>
      <c r="V283" s="4">
        <f t="shared" si="280"/>
        <v>0.00561313261410728</v>
      </c>
      <c r="W283" t="str">
        <f t="shared" si="268"/>
        <v>1-0,491154262053198i</v>
      </c>
      <c r="X283" s="4">
        <f t="shared" si="281"/>
        <v>1.11410614805458</v>
      </c>
      <c r="Y283" s="4">
        <f t="shared" si="282"/>
        <v>-0.456546010054322</v>
      </c>
      <c r="Z283" t="str">
        <f t="shared" si="269"/>
        <v>0,999858114679824+0,0260612465579247i</v>
      </c>
      <c r="AA283" s="4">
        <f t="shared" si="283"/>
        <v>1.00019769948908</v>
      </c>
      <c r="AB283" s="4">
        <f t="shared" si="284"/>
        <v>0.0260590445167966</v>
      </c>
      <c r="AC283" s="67" t="str">
        <f t="shared" si="285"/>
        <v>-0,705066711152335-1,89943703527716i</v>
      </c>
      <c r="AD283" s="68">
        <f t="shared" si="286"/>
        <v>6.13311058021762</v>
      </c>
      <c r="AE283" s="31">
        <f t="shared" si="287"/>
        <v>-110.364811444177</v>
      </c>
      <c r="AF283" s="32" t="str">
        <f t="shared" si="288"/>
        <v>75,4669735059805</v>
      </c>
      <c r="AG283" s="32" t="str">
        <f t="shared" si="270"/>
        <v>1+5,26236709342712i</v>
      </c>
      <c r="AH283" s="32">
        <f t="shared" si="289"/>
        <v>5.3565387542689</v>
      </c>
      <c r="AI283" s="32">
        <f t="shared" si="290"/>
        <v>1.38300682303025</v>
      </c>
      <c r="AJ283" s="32" t="str">
        <f t="shared" si="271"/>
        <v>1+0,00561319156632226i</v>
      </c>
      <c r="AK283" s="32">
        <f t="shared" si="291"/>
        <v>1.00001575383569</v>
      </c>
      <c r="AL283" s="32">
        <f t="shared" si="292"/>
        <v>0.00561313261410728</v>
      </c>
      <c r="AM283" s="32" t="str">
        <f t="shared" si="272"/>
        <v>1-0,0627573895651254i</v>
      </c>
      <c r="AN283" s="32">
        <f t="shared" si="293"/>
        <v>1.00196730981855</v>
      </c>
      <c r="AO283" s="32">
        <f t="shared" si="294"/>
        <v>-0.0626751939312864</v>
      </c>
      <c r="AP283" s="30" t="str">
        <f t="shared" si="295"/>
        <v>1,84018778940267-13,9962433450752i</v>
      </c>
      <c r="AQ283" s="32">
        <f t="shared" si="296"/>
        <v>22.9946615290561</v>
      </c>
      <c r="AR283" s="31">
        <f t="shared" si="297"/>
        <v>-82.5098692812209</v>
      </c>
      <c r="AS283" t="str">
        <f t="shared" si="273"/>
        <v>-0,000338461538461538</v>
      </c>
      <c r="AT283" t="str">
        <f t="shared" si="274"/>
        <v>0,00491305818225489i</v>
      </c>
      <c r="AU283">
        <f t="shared" si="298"/>
        <v>0.00491305818225489</v>
      </c>
      <c r="AV283">
        <f t="shared" si="299"/>
        <v>1.5707963267949</v>
      </c>
      <c r="AW283" t="str">
        <f t="shared" si="275"/>
        <v>1+0,797371154912614i</v>
      </c>
      <c r="AX283">
        <f t="shared" si="300"/>
        <v>1.27898426834996</v>
      </c>
      <c r="AY283">
        <f t="shared" si="301"/>
        <v>0.673135931070761</v>
      </c>
      <c r="AZ283" t="str">
        <f t="shared" si="276"/>
        <v>1+6,9603575422396i</v>
      </c>
      <c r="BA283">
        <f t="shared" si="302"/>
        <v>7.03182601575236</v>
      </c>
      <c r="BB283">
        <f t="shared" si="303"/>
        <v>1.42810199837844</v>
      </c>
      <c r="BC283" s="30" t="str">
        <f t="shared" si="304"/>
        <v>-0,259548318803578+0,275846538175893i</v>
      </c>
      <c r="BD283" s="32">
        <f t="shared" si="305"/>
        <v>-8.4327933798312</v>
      </c>
      <c r="BE283" s="31">
        <f t="shared" si="306"/>
        <v>133.256369332319</v>
      </c>
      <c r="BF283" s="30" t="str">
        <f t="shared" si="307"/>
        <v>0,706952010188242+0,298505477725005i</v>
      </c>
      <c r="BG283" s="68">
        <f t="shared" si="308"/>
        <v>-2.29968279961359</v>
      </c>
      <c r="BH283" s="31">
        <f t="shared" si="309"/>
        <v>22.8915578881423</v>
      </c>
      <c r="BI283" s="30" t="str">
        <f t="shared" si="263"/>
        <v>3,38319762718404+4,14031086108031i</v>
      </c>
      <c r="BJ283" s="68">
        <f t="shared" si="310"/>
        <v>14.5618681492249</v>
      </c>
      <c r="BK283" s="31">
        <f t="shared" si="264"/>
        <v>50.7465000510985</v>
      </c>
      <c r="BL283" s="32">
        <f t="shared" si="311"/>
        <v>-2.29968279961359</v>
      </c>
      <c r="BM283" s="31">
        <f t="shared" si="312"/>
        <v>22.8915578881423</v>
      </c>
      <c r="BO283">
        <f t="shared" si="313"/>
        <v>0</v>
      </c>
      <c r="BP283">
        <f t="shared" si="314"/>
        <v>0</v>
      </c>
    </row>
    <row r="284" spans="14:68">
      <c r="N284" s="7">
        <v>66</v>
      </c>
      <c r="O284" s="18">
        <f t="shared" ref="O284:O318" si="315">10^(3+(N284/100))</f>
        <v>4570.88189614875</v>
      </c>
      <c r="P284" s="86" t="str">
        <f t="shared" si="265"/>
        <v>15</v>
      </c>
      <c r="Q284" s="4" t="str">
        <f t="shared" si="266"/>
        <v>1+8,3765785747977i</v>
      </c>
      <c r="R284" s="4">
        <f t="shared" si="277"/>
        <v>8.4360576467779</v>
      </c>
      <c r="S284" s="4">
        <f t="shared" si="278"/>
        <v>1.45197816760285</v>
      </c>
      <c r="T284" s="4" t="str">
        <f t="shared" si="267"/>
        <v>1+0,005743939594147i</v>
      </c>
      <c r="U284" s="4">
        <f t="shared" si="279"/>
        <v>1.00001649628497</v>
      </c>
      <c r="V284" s="4">
        <f t="shared" si="280"/>
        <v>0.00574387642576684</v>
      </c>
      <c r="W284" t="str">
        <f t="shared" si="268"/>
        <v>1-0,502594714487863i</v>
      </c>
      <c r="X284" s="4">
        <f t="shared" si="281"/>
        <v>1.11919678655326</v>
      </c>
      <c r="Y284" s="4">
        <f t="shared" si="282"/>
        <v>-0.465721225438857</v>
      </c>
      <c r="Z284" t="str">
        <f t="shared" si="269"/>
        <v>0,999851427830695+0,0266682909728253i</v>
      </c>
      <c r="AA284" s="4">
        <f t="shared" si="283"/>
        <v>1.00020701631137</v>
      </c>
      <c r="AB284" s="4">
        <f t="shared" si="284"/>
        <v>0.0266659314643241</v>
      </c>
      <c r="AC284" s="67" t="str">
        <f t="shared" si="285"/>
        <v>-0,715449985342346-1,85656019636236i</v>
      </c>
      <c r="AD284" s="68">
        <f t="shared" si="286"/>
        <v>5.97550884529238</v>
      </c>
      <c r="AE284" s="31">
        <f t="shared" si="287"/>
        <v>-111.074827048539</v>
      </c>
      <c r="AF284" s="32" t="str">
        <f t="shared" si="288"/>
        <v>75,4669735059805</v>
      </c>
      <c r="AG284" s="32" t="str">
        <f t="shared" si="270"/>
        <v>1+5,38494336951282i</v>
      </c>
      <c r="AH284" s="32">
        <f t="shared" si="289"/>
        <v>5.47700785948497</v>
      </c>
      <c r="AI284" s="32">
        <f t="shared" si="290"/>
        <v>1.38718493496851</v>
      </c>
      <c r="AJ284" s="32" t="str">
        <f t="shared" si="271"/>
        <v>1+0,005743939594147i</v>
      </c>
      <c r="AK284" s="32">
        <f t="shared" si="291"/>
        <v>1.00001649628497</v>
      </c>
      <c r="AL284" s="32">
        <f t="shared" si="292"/>
        <v>0.00574387642576684</v>
      </c>
      <c r="AM284" s="32" t="str">
        <f t="shared" si="272"/>
        <v>1-0,0642191969558262i</v>
      </c>
      <c r="AN284" s="32">
        <f t="shared" si="293"/>
        <v>1.00205993097102</v>
      </c>
      <c r="AO284" s="32">
        <f t="shared" si="294"/>
        <v>-0.0641311325229263</v>
      </c>
      <c r="AP284" s="30" t="str">
        <f t="shared" si="295"/>
        <v>1,72451447678312-13,6993634954514i</v>
      </c>
      <c r="AQ284" s="32">
        <f t="shared" si="296"/>
        <v>22.8022886025343</v>
      </c>
      <c r="AR284" s="31">
        <f t="shared" si="297"/>
        <v>-82.825185529542</v>
      </c>
      <c r="AS284" t="str">
        <f t="shared" si="273"/>
        <v>-0,000338461538461538</v>
      </c>
      <c r="AT284" t="str">
        <f t="shared" si="274"/>
        <v>0,00502749800856905i</v>
      </c>
      <c r="AU284">
        <f t="shared" si="298"/>
        <v>0.00502749800856905</v>
      </c>
      <c r="AV284">
        <f t="shared" si="299"/>
        <v>1.5707963267949</v>
      </c>
      <c r="AW284" t="str">
        <f t="shared" si="275"/>
        <v>1+0,81594431506889i</v>
      </c>
      <c r="AX284">
        <f t="shared" si="300"/>
        <v>1.29064523603244</v>
      </c>
      <c r="AY284">
        <f t="shared" si="301"/>
        <v>0.684387753824244</v>
      </c>
      <c r="AZ284" t="str">
        <f t="shared" si="276"/>
        <v>1+7,12248509674228i</v>
      </c>
      <c r="BA284">
        <f t="shared" si="302"/>
        <v>7.19234273052362</v>
      </c>
      <c r="BB284">
        <f t="shared" si="303"/>
        <v>1.43130767038516</v>
      </c>
      <c r="BC284" s="30" t="str">
        <f t="shared" si="304"/>
        <v>-0,254879472722784+0,275289519954297i</v>
      </c>
      <c r="BD284" s="32">
        <f t="shared" si="305"/>
        <v>-8.51558182954561</v>
      </c>
      <c r="BE284" s="31">
        <f t="shared" si="306"/>
        <v>132.795358853204</v>
      </c>
      <c r="BF284" s="30" t="str">
        <f t="shared" si="307"/>
        <v>0,69344508024643+0,276243200910743i</v>
      </c>
      <c r="BG284" s="68">
        <f t="shared" si="308"/>
        <v>-2.54007298425323</v>
      </c>
      <c r="BH284" s="31">
        <f t="shared" si="309"/>
        <v>21.7205318046647</v>
      </c>
      <c r="BI284" s="30" t="str">
        <f t="shared" si="263"/>
        <v>3,33174785979695+3,96642730682627i</v>
      </c>
      <c r="BJ284" s="68">
        <f t="shared" si="310"/>
        <v>14.2867067729887</v>
      </c>
      <c r="BK284" s="31">
        <f t="shared" si="264"/>
        <v>49.9701733236618</v>
      </c>
      <c r="BL284" s="32">
        <f t="shared" si="311"/>
        <v>-2.54007298425323</v>
      </c>
      <c r="BM284" s="31">
        <f t="shared" si="312"/>
        <v>21.7205318046647</v>
      </c>
      <c r="BO284">
        <f t="shared" si="313"/>
        <v>0</v>
      </c>
      <c r="BP284">
        <f t="shared" si="314"/>
        <v>0</v>
      </c>
    </row>
    <row r="285" spans="14:68">
      <c r="N285" s="7">
        <v>67</v>
      </c>
      <c r="O285" s="18">
        <f t="shared" si="315"/>
        <v>4677.35141287198</v>
      </c>
      <c r="P285" s="86" t="str">
        <f t="shared" si="265"/>
        <v>15</v>
      </c>
      <c r="Q285" s="4" t="str">
        <f t="shared" si="266"/>
        <v>1+8,57169415487959i</v>
      </c>
      <c r="R285" s="4">
        <f t="shared" si="277"/>
        <v>8.62982854318653</v>
      </c>
      <c r="S285" s="4">
        <f t="shared" si="278"/>
        <v>1.45465826614985</v>
      </c>
      <c r="T285" s="4" t="str">
        <f t="shared" si="267"/>
        <v>1+0,00587773313477458i</v>
      </c>
      <c r="U285" s="4">
        <f t="shared" si="279"/>
        <v>1.00001727372421</v>
      </c>
      <c r="V285" s="4">
        <f t="shared" si="280"/>
        <v>0.00587766544869891</v>
      </c>
      <c r="W285" t="str">
        <f t="shared" si="268"/>
        <v>1-0,514301649292776i</v>
      </c>
      <c r="X285" s="4">
        <f t="shared" si="281"/>
        <v>1.12450263959907</v>
      </c>
      <c r="Y285" s="4">
        <f t="shared" si="282"/>
        <v>-0.475023358109602</v>
      </c>
      <c r="Z285" t="str">
        <f t="shared" si="269"/>
        <v>0,999844425840075+0,0272894752685962i</v>
      </c>
      <c r="AA285" s="4">
        <f t="shared" si="283"/>
        <v>1.00021677217686</v>
      </c>
      <c r="AB285" s="4">
        <f t="shared" si="284"/>
        <v>0.0272869470333362</v>
      </c>
      <c r="AC285" s="67" t="str">
        <f t="shared" si="285"/>
        <v>-0,725377214287808-1,81455746861867i</v>
      </c>
      <c r="AD285" s="68">
        <f t="shared" si="286"/>
        <v>5.81925880119711</v>
      </c>
      <c r="AE285" s="31">
        <f t="shared" si="287"/>
        <v>-111.789274351223</v>
      </c>
      <c r="AF285" s="32" t="str">
        <f t="shared" si="288"/>
        <v>75,4669735059805</v>
      </c>
      <c r="AG285" s="32" t="str">
        <f t="shared" si="270"/>
        <v>1+5,51037481385117i</v>
      </c>
      <c r="AH285" s="32">
        <f t="shared" si="289"/>
        <v>5.6003777184334</v>
      </c>
      <c r="AI285" s="32">
        <f t="shared" si="290"/>
        <v>1.39127421592818</v>
      </c>
      <c r="AJ285" s="32" t="str">
        <f t="shared" si="271"/>
        <v>1+0,00587773313477458i</v>
      </c>
      <c r="AK285" s="32">
        <f t="shared" si="291"/>
        <v>1.00001727372421</v>
      </c>
      <c r="AL285" s="32">
        <f t="shared" si="292"/>
        <v>0.00587766544869891</v>
      </c>
      <c r="AM285" s="32" t="str">
        <f t="shared" si="272"/>
        <v>1-0,0657150542147945i</v>
      </c>
      <c r="AN285" s="32">
        <f t="shared" si="293"/>
        <v>1.00215690804906</v>
      </c>
      <c r="AO285" s="32">
        <f t="shared" si="294"/>
        <v>-0.0656207024402361</v>
      </c>
      <c r="AP285" s="30" t="str">
        <f t="shared" si="295"/>
        <v>1,613707517439-13,4078747856329i</v>
      </c>
      <c r="AQ285" s="32">
        <f t="shared" si="296"/>
        <v>22.6096568167261</v>
      </c>
      <c r="AR285" s="31">
        <f t="shared" si="297"/>
        <v>-83.1371645929666</v>
      </c>
      <c r="AS285" t="str">
        <f t="shared" si="273"/>
        <v>-0,000338461538461538</v>
      </c>
      <c r="AT285" t="str">
        <f t="shared" si="274"/>
        <v>0,00514460348087415i</v>
      </c>
      <c r="AU285">
        <f t="shared" si="298"/>
        <v>0.00514460348087415</v>
      </c>
      <c r="AV285">
        <f t="shared" si="299"/>
        <v>1.5707963267949</v>
      </c>
      <c r="AW285" t="str">
        <f t="shared" si="275"/>
        <v>1+0,834950099701315i</v>
      </c>
      <c r="AX285">
        <f t="shared" si="300"/>
        <v>1.30274390000155</v>
      </c>
      <c r="AY285">
        <f t="shared" si="301"/>
        <v>0.69569167503141</v>
      </c>
      <c r="AZ285" t="str">
        <f t="shared" si="276"/>
        <v>1+7,28838908712048i</v>
      </c>
      <c r="BA285">
        <f t="shared" si="302"/>
        <v>7.35667149499398</v>
      </c>
      <c r="BB285">
        <f t="shared" si="303"/>
        <v>1.4344431631704</v>
      </c>
      <c r="BC285" s="30" t="str">
        <f t="shared" si="304"/>
        <v>-0,25016729279124+0,274666831967965i</v>
      </c>
      <c r="BD285" s="32">
        <f t="shared" si="305"/>
        <v>-8.60040535753888</v>
      </c>
      <c r="BE285" s="31">
        <f t="shared" si="306"/>
        <v>132.327342379373</v>
      </c>
      <c r="BF285" s="30" t="str">
        <f t="shared" si="307"/>
        <v>0,679864405280132+0,254705868108278i</v>
      </c>
      <c r="BG285" s="68">
        <f t="shared" si="308"/>
        <v>-2.78114655634177</v>
      </c>
      <c r="BH285" s="31">
        <f t="shared" si="309"/>
        <v>20.5380680281502</v>
      </c>
      <c r="BI285" s="30" t="str">
        <f t="shared" si="263"/>
        <v>3,27900164979836+3,79744366874357i</v>
      </c>
      <c r="BJ285" s="68">
        <f t="shared" si="310"/>
        <v>14.0092514591873</v>
      </c>
      <c r="BK285" s="31">
        <f t="shared" si="264"/>
        <v>49.1901777864065</v>
      </c>
      <c r="BL285" s="32">
        <f t="shared" si="311"/>
        <v>-2.78114655634177</v>
      </c>
      <c r="BM285" s="31">
        <f t="shared" si="312"/>
        <v>20.5380680281502</v>
      </c>
      <c r="BO285">
        <f t="shared" si="313"/>
        <v>0</v>
      </c>
      <c r="BP285">
        <f t="shared" si="314"/>
        <v>0</v>
      </c>
    </row>
    <row r="286" spans="14:68">
      <c r="N286" s="7">
        <v>68</v>
      </c>
      <c r="O286" s="18">
        <f t="shared" si="315"/>
        <v>4786.30092322638</v>
      </c>
      <c r="P286" s="86" t="str">
        <f t="shared" si="265"/>
        <v>15</v>
      </c>
      <c r="Q286" s="4" t="str">
        <f t="shared" si="266"/>
        <v>1+8,77135456066219i</v>
      </c>
      <c r="R286" s="4">
        <f t="shared" si="277"/>
        <v>8.82817426362039</v>
      </c>
      <c r="S286" s="4">
        <f t="shared" si="278"/>
        <v>1.45727897866074</v>
      </c>
      <c r="T286" s="4" t="str">
        <f t="shared" si="267"/>
        <v>1+0,00601464312731122i</v>
      </c>
      <c r="U286" s="4">
        <f t="shared" si="279"/>
        <v>1.00001808780239</v>
      </c>
      <c r="V286" s="4">
        <f t="shared" si="280"/>
        <v>0.00601457060044529</v>
      </c>
      <c r="W286" t="str">
        <f t="shared" si="268"/>
        <v>1-0,526281273639732i</v>
      </c>
      <c r="X286" s="4">
        <f t="shared" si="281"/>
        <v>1.13003184865908</v>
      </c>
      <c r="Y286" s="4">
        <f t="shared" si="282"/>
        <v>-0.484450899984289</v>
      </c>
      <c r="Z286" t="str">
        <f t="shared" si="269"/>
        <v>0,999837093855803+0,0279251288053734i</v>
      </c>
      <c r="AA286" s="4">
        <f t="shared" si="283"/>
        <v>1.00022698777268</v>
      </c>
      <c r="AB286" s="4">
        <f t="shared" si="284"/>
        <v>0.0279224197790191</v>
      </c>
      <c r="AC286" s="67" t="str">
        <f t="shared" si="285"/>
        <v>-0,734867738795125-1,77341374974862i</v>
      </c>
      <c r="AD286" s="68">
        <f t="shared" si="286"/>
        <v>5.66440664986853</v>
      </c>
      <c r="AE286" s="31">
        <f t="shared" si="287"/>
        <v>-112.508154296951</v>
      </c>
      <c r="AF286" s="32" t="str">
        <f t="shared" si="288"/>
        <v>75,4669735059805</v>
      </c>
      <c r="AG286" s="32" t="str">
        <f t="shared" si="270"/>
        <v>1+5,63872793185427i</v>
      </c>
      <c r="AH286" s="32">
        <f t="shared" si="289"/>
        <v>5.72671395212591</v>
      </c>
      <c r="AI286" s="32">
        <f t="shared" si="290"/>
        <v>1.39527628677685</v>
      </c>
      <c r="AJ286" s="32" t="str">
        <f t="shared" si="271"/>
        <v>1+0,00601464312731122i</v>
      </c>
      <c r="AK286" s="32">
        <f t="shared" si="291"/>
        <v>1.00001808780239</v>
      </c>
      <c r="AL286" s="32">
        <f t="shared" si="292"/>
        <v>0.00601457060044529</v>
      </c>
      <c r="AM286" s="32" t="str">
        <f t="shared" si="272"/>
        <v>1-0,067245754465349i</v>
      </c>
      <c r="AN286" s="32">
        <f t="shared" si="293"/>
        <v>1.00225844545886</v>
      </c>
      <c r="AO286" s="32">
        <f t="shared" si="294"/>
        <v>-0.0671446670173233</v>
      </c>
      <c r="AP286" s="30" t="str">
        <f t="shared" si="295"/>
        <v>1,50757638840598-13,1217397477982i</v>
      </c>
      <c r="AQ286" s="32">
        <f t="shared" si="296"/>
        <v>22.4167804535973</v>
      </c>
      <c r="AR286" s="31">
        <f t="shared" si="297"/>
        <v>-83.4459390129133</v>
      </c>
      <c r="AS286" t="str">
        <f t="shared" si="273"/>
        <v>-0,000338461538461538</v>
      </c>
      <c r="AT286" t="str">
        <f t="shared" si="274"/>
        <v>0,00526443669004169i</v>
      </c>
      <c r="AU286">
        <f t="shared" si="298"/>
        <v>0.00526443669004169</v>
      </c>
      <c r="AV286">
        <f t="shared" si="299"/>
        <v>1.5707963267949</v>
      </c>
      <c r="AW286" t="str">
        <f t="shared" si="275"/>
        <v>1+0,854398585928473i</v>
      </c>
      <c r="AX286">
        <f t="shared" si="300"/>
        <v>1.31529348194104</v>
      </c>
      <c r="AY286">
        <f t="shared" si="301"/>
        <v>0.707042133729452</v>
      </c>
      <c r="AZ286" t="str">
        <f t="shared" si="276"/>
        <v>1+7,45815747786591i</v>
      </c>
      <c r="BA286">
        <f t="shared" si="302"/>
        <v>7.52489953186401</v>
      </c>
      <c r="BB286">
        <f t="shared" si="303"/>
        <v>1.43750989247626</v>
      </c>
      <c r="BC286" s="30" t="str">
        <f t="shared" si="304"/>
        <v>-0,245416235199971+0,273975355510669i</v>
      </c>
      <c r="BD286" s="32">
        <f t="shared" si="305"/>
        <v>-8.68729090282798</v>
      </c>
      <c r="BE286" s="31">
        <f t="shared" si="306"/>
        <v>131.852719646573</v>
      </c>
      <c r="BF286" s="30" t="str">
        <f t="shared" si="307"/>
        <v>0,666220136379902+0,233888875925454i</v>
      </c>
      <c r="BG286" s="68">
        <f t="shared" si="308"/>
        <v>-3.02288425295945</v>
      </c>
      <c r="BH286" s="31">
        <f t="shared" si="309"/>
        <v>19.3445653496214</v>
      </c>
      <c r="BI286" s="30" t="str">
        <f t="shared" si="263"/>
        <v>3,22504959080252+3,63332674515147i</v>
      </c>
      <c r="BJ286" s="68">
        <f t="shared" si="310"/>
        <v>13.7294895507693</v>
      </c>
      <c r="BK286" s="31">
        <f t="shared" si="264"/>
        <v>48.4067806336594</v>
      </c>
      <c r="BL286" s="32">
        <f t="shared" si="311"/>
        <v>-3.02288425295945</v>
      </c>
      <c r="BM286" s="31">
        <f t="shared" si="312"/>
        <v>19.3445653496214</v>
      </c>
      <c r="BO286">
        <f t="shared" si="313"/>
        <v>0</v>
      </c>
      <c r="BP286">
        <f t="shared" si="314"/>
        <v>0</v>
      </c>
    </row>
    <row r="287" spans="14:68">
      <c r="N287" s="7">
        <v>69</v>
      </c>
      <c r="O287" s="18">
        <f t="shared" si="315"/>
        <v>4897.78819368446</v>
      </c>
      <c r="P287" s="86" t="str">
        <f t="shared" si="265"/>
        <v>15</v>
      </c>
      <c r="Q287" s="4" t="str">
        <f t="shared" si="266"/>
        <v>1+8,97566565473547i</v>
      </c>
      <c r="R287" s="4">
        <f t="shared" si="277"/>
        <v>9.03120002799174</v>
      </c>
      <c r="S287" s="4">
        <f t="shared" si="278"/>
        <v>1.45984155059898</v>
      </c>
      <c r="T287" s="4" t="str">
        <f t="shared" si="267"/>
        <v>1+0,00615474216324718i</v>
      </c>
      <c r="U287" s="4">
        <f t="shared" si="279"/>
        <v>1.00001894024618</v>
      </c>
      <c r="V287" s="4">
        <f t="shared" si="280"/>
        <v>0.00615466444938969</v>
      </c>
      <c r="W287" t="str">
        <f t="shared" si="268"/>
        <v>1-0,538539939284129i</v>
      </c>
      <c r="X287" s="4">
        <f t="shared" si="281"/>
        <v>1.13579279193176</v>
      </c>
      <c r="Y287" s="4">
        <f t="shared" si="282"/>
        <v>-0.49400214554982</v>
      </c>
      <c r="Z287" t="str">
        <f t="shared" si="269"/>
        <v>0,999829416325759+0,0285755886150761i</v>
      </c>
      <c r="AA287" s="4">
        <f t="shared" si="283"/>
        <v>1.00023768476048</v>
      </c>
      <c r="AB287" s="4">
        <f t="shared" si="284"/>
        <v>0.028572685870811</v>
      </c>
      <c r="AC287" s="67" t="str">
        <f t="shared" si="285"/>
        <v>-0,743940120501013-1,73311393562459i</v>
      </c>
      <c r="AD287" s="68">
        <f t="shared" si="286"/>
        <v>5.51099837057236</v>
      </c>
      <c r="AE287" s="31">
        <f t="shared" si="287"/>
        <v>-113.231455630048</v>
      </c>
      <c r="AF287" s="32" t="str">
        <f t="shared" si="288"/>
        <v>75,4669735059805</v>
      </c>
      <c r="AG287" s="32" t="str">
        <f t="shared" si="270"/>
        <v>1+5,77007077804424i</v>
      </c>
      <c r="AH287" s="32">
        <f t="shared" si="289"/>
        <v>5.85608374117379</v>
      </c>
      <c r="AI287" s="32">
        <f t="shared" si="290"/>
        <v>1.39919275641632</v>
      </c>
      <c r="AJ287" s="32" t="str">
        <f t="shared" si="271"/>
        <v>1+0,00615474216324718i</v>
      </c>
      <c r="AK287" s="32">
        <f t="shared" si="291"/>
        <v>1.00001894024618</v>
      </c>
      <c r="AL287" s="32">
        <f t="shared" si="292"/>
        <v>0.00615466444938969</v>
      </c>
      <c r="AM287" s="32" t="str">
        <f t="shared" si="272"/>
        <v>1-0,068812109305024i</v>
      </c>
      <c r="AN287" s="32">
        <f t="shared" si="293"/>
        <v>1.0023647571553</v>
      </c>
      <c r="AO287" s="32">
        <f t="shared" si="294"/>
        <v>-0.068703805949569</v>
      </c>
      <c r="AP287" s="30" t="str">
        <f t="shared" si="295"/>
        <v>1,40593680752117-12,8409167548977i</v>
      </c>
      <c r="AQ287" s="32">
        <f t="shared" si="296"/>
        <v>22.2236733859957</v>
      </c>
      <c r="AR287" s="31">
        <f t="shared" si="297"/>
        <v>-83.7516414880585</v>
      </c>
      <c r="AS287" t="str">
        <f t="shared" si="273"/>
        <v>-0,000338461538461538</v>
      </c>
      <c r="AT287" t="str">
        <f t="shared" si="274"/>
        <v>0,00538706117322535i</v>
      </c>
      <c r="AU287">
        <f t="shared" si="298"/>
        <v>0.00538706117322535</v>
      </c>
      <c r="AV287">
        <f t="shared" si="299"/>
        <v>1.5707963267949</v>
      </c>
      <c r="AW287" t="str">
        <f t="shared" si="275"/>
        <v>1+0,874300085595193i</v>
      </c>
      <c r="AX287">
        <f t="shared" si="300"/>
        <v>1.32830743417018</v>
      </c>
      <c r="AY287">
        <f t="shared" si="301"/>
        <v>0.718433450396948</v>
      </c>
      <c r="AZ287" t="str">
        <f t="shared" si="276"/>
        <v>1+7,6318802824265i</v>
      </c>
      <c r="BA287">
        <f t="shared" si="302"/>
        <v>7.69711612523095</v>
      </c>
      <c r="BB287">
        <f t="shared" si="303"/>
        <v>1.44050925346501</v>
      </c>
      <c r="BC287" s="30" t="str">
        <f t="shared" si="304"/>
        <v>-0,240630912995888+0,273212232810243i</v>
      </c>
      <c r="BD287" s="32">
        <f t="shared" si="305"/>
        <v>-8.77626295192483</v>
      </c>
      <c r="BE287" s="31">
        <f t="shared" si="306"/>
        <v>131.371896004319</v>
      </c>
      <c r="BF287" s="30" t="str">
        <f t="shared" si="307"/>
        <v>0,652522918476972+0,213787247256039i</v>
      </c>
      <c r="BG287" s="68">
        <f t="shared" si="308"/>
        <v>-3.26526458135246</v>
      </c>
      <c r="BH287" s="31">
        <f t="shared" si="309"/>
        <v>18.1404403742709</v>
      </c>
      <c r="BI287" s="30" t="str">
        <f t="shared" si="263"/>
        <v>3,16998368032772+3,47404065680819i</v>
      </c>
      <c r="BJ287" s="68">
        <f t="shared" si="310"/>
        <v>13.4474104340708</v>
      </c>
      <c r="BK287" s="31">
        <f t="shared" si="264"/>
        <v>47.6202545162608</v>
      </c>
      <c r="BL287" s="32">
        <f t="shared" si="311"/>
        <v>-3.26526458135246</v>
      </c>
      <c r="BM287" s="31">
        <f t="shared" si="312"/>
        <v>18.1404403742709</v>
      </c>
      <c r="BO287">
        <f t="shared" si="313"/>
        <v>0</v>
      </c>
      <c r="BP287">
        <f t="shared" si="314"/>
        <v>0</v>
      </c>
    </row>
    <row r="288" spans="14:68">
      <c r="N288" s="7">
        <v>70</v>
      </c>
      <c r="O288" s="18">
        <f t="shared" si="315"/>
        <v>5011.87233627273</v>
      </c>
      <c r="P288" s="86" t="str">
        <f t="shared" si="265"/>
        <v>15</v>
      </c>
      <c r="Q288" s="4" t="str">
        <f t="shared" si="266"/>
        <v>1+9,18473576554587i</v>
      </c>
      <c r="R288" s="4">
        <f t="shared" si="277"/>
        <v>9.23901353407914</v>
      </c>
      <c r="S288" s="4">
        <f t="shared" si="278"/>
        <v>1.46234720597853</v>
      </c>
      <c r="T288" s="4" t="str">
        <f t="shared" si="267"/>
        <v>1+0,00629810452494574i</v>
      </c>
      <c r="U288" s="4">
        <f t="shared" si="279"/>
        <v>1.00001983286363</v>
      </c>
      <c r="V288" s="4">
        <f t="shared" si="280"/>
        <v>0.00629802125313635</v>
      </c>
      <c r="W288" t="str">
        <f t="shared" si="268"/>
        <v>1-0,551084145932753i</v>
      </c>
      <c r="X288" s="4">
        <f t="shared" si="281"/>
        <v>1.14179408647025</v>
      </c>
      <c r="Y288" s="4">
        <f t="shared" si="282"/>
        <v>-0.50367518758149</v>
      </c>
      <c r="Z288" t="str">
        <f t="shared" si="269"/>
        <v>0,99982137696487+0,0292411995801051i</v>
      </c>
      <c r="AA288" s="4">
        <f t="shared" si="283"/>
        <v>1.00024888582233</v>
      </c>
      <c r="AB288" s="4">
        <f t="shared" si="284"/>
        <v>0.0292380892669908</v>
      </c>
      <c r="AC288" s="67" t="str">
        <f t="shared" si="285"/>
        <v>-0,752612168789719-1,69364294062043i</v>
      </c>
      <c r="AD288" s="68">
        <f t="shared" si="286"/>
        <v>5.35907964160101</v>
      </c>
      <c r="AE288" s="31">
        <f t="shared" si="287"/>
        <v>-113.959154658134</v>
      </c>
      <c r="AF288" s="32" t="str">
        <f t="shared" si="288"/>
        <v>75,4669735059805</v>
      </c>
      <c r="AG288" s="32" t="str">
        <f t="shared" si="270"/>
        <v>1+5,90447299213664i</v>
      </c>
      <c r="AH288" s="32">
        <f t="shared" si="289"/>
        <v>5.98855586221511</v>
      </c>
      <c r="AI288" s="32">
        <f t="shared" si="290"/>
        <v>1.40302522058195</v>
      </c>
      <c r="AJ288" s="32" t="str">
        <f t="shared" si="271"/>
        <v>1+0,00629810452494574i</v>
      </c>
      <c r="AK288" s="32">
        <f t="shared" si="291"/>
        <v>1.00001983286363</v>
      </c>
      <c r="AL288" s="32">
        <f t="shared" si="292"/>
        <v>0.00629802125313635</v>
      </c>
      <c r="AM288" s="32" t="str">
        <f t="shared" si="272"/>
        <v>1-0,0704149492358885i</v>
      </c>
      <c r="AN288" s="32">
        <f t="shared" si="293"/>
        <v>1.00247606708384</v>
      </c>
      <c r="AO288" s="32">
        <f t="shared" si="294"/>
        <v>-0.0702989155749581</v>
      </c>
      <c r="AP288" s="30" t="str">
        <f t="shared" si="295"/>
        <v>1,30861063670429-12,565360382731i</v>
      </c>
      <c r="AQ288" s="32">
        <f t="shared" si="296"/>
        <v>22.0303490976213</v>
      </c>
      <c r="AR288" s="31">
        <f t="shared" si="297"/>
        <v>-84.0544048194602</v>
      </c>
      <c r="AS288" t="str">
        <f t="shared" si="273"/>
        <v>-0,000338461538461538</v>
      </c>
      <c r="AT288" t="str">
        <f t="shared" si="274"/>
        <v>0,00551254194754925i</v>
      </c>
      <c r="AU288">
        <f t="shared" si="298"/>
        <v>0.00551254194754925</v>
      </c>
      <c r="AV288">
        <f t="shared" si="299"/>
        <v>1.5707963267949</v>
      </c>
      <c r="AW288" t="str">
        <f t="shared" si="275"/>
        <v>1+0,894665150740026i</v>
      </c>
      <c r="AX288">
        <f t="shared" si="300"/>
        <v>1.34179943804902</v>
      </c>
      <c r="AY288">
        <f t="shared" si="301"/>
        <v>0.729859840451935</v>
      </c>
      <c r="AZ288" t="str">
        <f t="shared" si="276"/>
        <v>1+7,80964961093271i</v>
      </c>
      <c r="BA288">
        <f t="shared" si="302"/>
        <v>7.87341266831235</v>
      </c>
      <c r="BB288">
        <f t="shared" si="303"/>
        <v>1.44344262046123</v>
      </c>
      <c r="BC288" s="30" t="str">
        <f t="shared" si="304"/>
        <v>-0,235816079097701+0,272374879281116i</v>
      </c>
      <c r="BD288" s="32">
        <f t="shared" si="305"/>
        <v>-8.86734348100366</v>
      </c>
      <c r="BE288" s="31">
        <f t="shared" si="306"/>
        <v>130.885281627745</v>
      </c>
      <c r="BF288" s="30" t="str">
        <f t="shared" si="307"/>
        <v>0,638783842222013+0,194395589029012i</v>
      </c>
      <c r="BG288" s="68">
        <f t="shared" si="308"/>
        <v>-3.50826383940265</v>
      </c>
      <c r="BH288" s="31">
        <f t="shared" si="309"/>
        <v>16.9261269696111</v>
      </c>
      <c r="BI288" s="30" t="str">
        <f t="shared" si="263"/>
        <v>3,11389708795692+3,31954668210353i</v>
      </c>
      <c r="BJ288" s="68">
        <f t="shared" si="310"/>
        <v>13.1630056166177</v>
      </c>
      <c r="BK288" s="31">
        <f t="shared" si="264"/>
        <v>46.8308768082849</v>
      </c>
      <c r="BL288" s="32">
        <f t="shared" si="311"/>
        <v>-3.50826383940265</v>
      </c>
      <c r="BM288" s="31">
        <f t="shared" si="312"/>
        <v>16.9261269696111</v>
      </c>
      <c r="BO288">
        <f t="shared" si="313"/>
        <v>0</v>
      </c>
      <c r="BP288">
        <f t="shared" si="314"/>
        <v>0</v>
      </c>
    </row>
    <row r="289" spans="14:68">
      <c r="N289" s="7">
        <v>71</v>
      </c>
      <c r="O289" s="18">
        <f t="shared" si="315"/>
        <v>5128.61383991365</v>
      </c>
      <c r="P289" s="86" t="str">
        <f t="shared" si="265"/>
        <v>15</v>
      </c>
      <c r="Q289" s="4" t="str">
        <f t="shared" si="266"/>
        <v>1+9,39867574483346i</v>
      </c>
      <c r="R289" s="4">
        <f t="shared" si="277"/>
        <v>9.4517250148595</v>
      </c>
      <c r="S289" s="4">
        <f t="shared" si="278"/>
        <v>1.46479714741247</v>
      </c>
      <c r="T289" s="4" t="str">
        <f t="shared" si="267"/>
        <v>1+0,00644480622502866i</v>
      </c>
      <c r="U289" s="4">
        <f t="shared" si="279"/>
        <v>1.00002076754799</v>
      </c>
      <c r="V289" s="4">
        <f t="shared" si="280"/>
        <v>0.00644471699777739</v>
      </c>
      <c r="W289" t="str">
        <f t="shared" si="268"/>
        <v>1-0,563920544690008i</v>
      </c>
      <c r="X289" s="4">
        <f t="shared" si="281"/>
        <v>1.14804459004146</v>
      </c>
      <c r="Y289" s="4">
        <f t="shared" si="282"/>
        <v>-0.513467913405629</v>
      </c>
      <c r="Z289" t="str">
        <f t="shared" si="269"/>
        <v>0,999812958720576+0,0299223146162044i</v>
      </c>
      <c r="AA289" s="4">
        <f t="shared" si="283"/>
        <v>1.00026061470878</v>
      </c>
      <c r="AB289" s="4">
        <f t="shared" si="284"/>
        <v>0.0299189818931358</v>
      </c>
      <c r="AC289" s="67" t="str">
        <f t="shared" si="285"/>
        <v>-0,760900967148977-1,65498571629345i</v>
      </c>
      <c r="AD289" s="68">
        <f t="shared" si="286"/>
        <v>5.2086957571739</v>
      </c>
      <c r="AE289" s="31">
        <f t="shared" si="287"/>
        <v>-114.691215048744</v>
      </c>
      <c r="AF289" s="32" t="str">
        <f t="shared" si="288"/>
        <v>75,4669735059805</v>
      </c>
      <c r="AG289" s="32" t="str">
        <f t="shared" si="270"/>
        <v>1+6,04200583596437i</v>
      </c>
      <c r="AH289" s="32">
        <f t="shared" si="289"/>
        <v>6.12420072514181</v>
      </c>
      <c r="AI289" s="32">
        <f t="shared" si="290"/>
        <v>1.40677526074816</v>
      </c>
      <c r="AJ289" s="32" t="str">
        <f t="shared" si="271"/>
        <v>1+0,00644480622502866i</v>
      </c>
      <c r="AK289" s="32">
        <f t="shared" si="291"/>
        <v>1.00002076754799</v>
      </c>
      <c r="AL289" s="32">
        <f t="shared" si="292"/>
        <v>0.00644471699777739</v>
      </c>
      <c r="AM289" s="32" t="str">
        <f t="shared" si="272"/>
        <v>1-0,0720551241048894i</v>
      </c>
      <c r="AN289" s="32">
        <f t="shared" si="293"/>
        <v>1.00259260964251</v>
      </c>
      <c r="AO289" s="32">
        <f t="shared" si="294"/>
        <v>-0.0719308091550346</v>
      </c>
      <c r="AP289" s="30" t="str">
        <f t="shared" si="295"/>
        <v>1,21542577593747-12,2950217525541i</v>
      </c>
      <c r="AQ289" s="32">
        <f t="shared" si="296"/>
        <v>21.8368207028938</v>
      </c>
      <c r="AR289" s="31">
        <f t="shared" si="297"/>
        <v>-84.354361861701</v>
      </c>
      <c r="AS289" t="str">
        <f t="shared" si="273"/>
        <v>-0,000338461538461538</v>
      </c>
      <c r="AT289" t="str">
        <f t="shared" si="274"/>
        <v>0,00564094554458084i</v>
      </c>
      <c r="AU289">
        <f t="shared" si="298"/>
        <v>0.00564094554458084</v>
      </c>
      <c r="AV289">
        <f t="shared" si="299"/>
        <v>1.5707963267949</v>
      </c>
      <c r="AW289" t="str">
        <f t="shared" si="275"/>
        <v>1+0,91550457919007i</v>
      </c>
      <c r="AX289">
        <f t="shared" si="300"/>
        <v>1.35578340250867</v>
      </c>
      <c r="AY289">
        <f t="shared" si="301"/>
        <v>0.741315428399339</v>
      </c>
      <c r="AZ289" t="str">
        <f t="shared" si="276"/>
        <v>1+7,99155971903554i</v>
      </c>
      <c r="BA289">
        <f t="shared" si="302"/>
        <v>8.0538827122644</v>
      </c>
      <c r="BB289">
        <f t="shared" si="303"/>
        <v>1.44631134674305</v>
      </c>
      <c r="BC289" s="30" t="str">
        <f t="shared" si="304"/>
        <v>-0,230976608116393+0,271460994363357i</v>
      </c>
      <c r="BD289" s="32">
        <f t="shared" si="305"/>
        <v>-8.96055190598557</v>
      </c>
      <c r="BE289" s="31">
        <f t="shared" si="306"/>
        <v>130.393290695044</v>
      </c>
      <c r="BF289" s="30" t="str">
        <f t="shared" si="307"/>
        <v>0,625014392706726+0,175708054076239i</v>
      </c>
      <c r="BG289" s="68">
        <f t="shared" si="308"/>
        <v>-3.75185614881167</v>
      </c>
      <c r="BH289" s="31">
        <f t="shared" si="309"/>
        <v>15.7020756463002</v>
      </c>
      <c r="BI289" s="30" t="str">
        <f t="shared" si="263"/>
        <v>3,05688390752417+3,16980311083306i</v>
      </c>
      <c r="BJ289" s="68">
        <f t="shared" si="310"/>
        <v>12.8762687969082</v>
      </c>
      <c r="BK289" s="31">
        <f t="shared" si="264"/>
        <v>46.0389288333435</v>
      </c>
      <c r="BL289" s="32">
        <f t="shared" si="311"/>
        <v>-3.75185614881167</v>
      </c>
      <c r="BM289" s="31">
        <f t="shared" si="312"/>
        <v>15.7020756463002</v>
      </c>
      <c r="BO289">
        <f t="shared" si="313"/>
        <v>0</v>
      </c>
      <c r="BP289">
        <f t="shared" si="314"/>
        <v>0</v>
      </c>
    </row>
    <row r="290" spans="14:68">
      <c r="N290" s="7">
        <v>72</v>
      </c>
      <c r="O290" s="18">
        <f t="shared" si="315"/>
        <v>5248.07460249773</v>
      </c>
      <c r="P290" s="86" t="str">
        <f t="shared" si="265"/>
        <v>15</v>
      </c>
      <c r="Q290" s="4" t="str">
        <f t="shared" si="266"/>
        <v>1+9,61759902640719i</v>
      </c>
      <c r="R290" s="4">
        <f t="shared" si="277"/>
        <v>9.66944729717001</v>
      </c>
      <c r="S290" s="4">
        <f t="shared" si="278"/>
        <v>1.46719255618757</v>
      </c>
      <c r="T290" s="4" t="str">
        <f t="shared" si="267"/>
        <v>1+0,00659492504667922i</v>
      </c>
      <c r="U290" s="4">
        <f t="shared" si="279"/>
        <v>1.00002174628174</v>
      </c>
      <c r="V290" s="4">
        <f t="shared" si="280"/>
        <v>0.00659482943806922</v>
      </c>
      <c r="W290" t="str">
        <f t="shared" si="268"/>
        <v>1-0,577055941584432i</v>
      </c>
      <c r="X290" s="4">
        <f t="shared" si="281"/>
        <v>1.15455340271375</v>
      </c>
      <c r="Y290" s="4">
        <f t="shared" si="282"/>
        <v>-0.523378001760896</v>
      </c>
      <c r="Z290" t="str">
        <f t="shared" si="269"/>
        <v>0,999804143736651+0,030619294859582i</v>
      </c>
      <c r="AA290" s="4">
        <f t="shared" si="283"/>
        <v>1.00027289628915</v>
      </c>
      <c r="AB290" s="4">
        <f t="shared" si="284"/>
        <v>0.0306157238245255</v>
      </c>
      <c r="AC290" s="67" t="str">
        <f t="shared" si="285"/>
        <v>-0,768822898937338-1,61712726851364i</v>
      </c>
      <c r="AD290" s="68">
        <f t="shared" si="286"/>
        <v>5.05989153979128</v>
      </c>
      <c r="AE290" s="31">
        <f t="shared" si="287"/>
        <v>-115.427587661922</v>
      </c>
      <c r="AF290" s="32" t="str">
        <f t="shared" si="288"/>
        <v>75,4669735059805</v>
      </c>
      <c r="AG290" s="32" t="str">
        <f t="shared" si="270"/>
        <v>1+6,18274223126177i</v>
      </c>
      <c r="AH290" s="32">
        <f t="shared" si="289"/>
        <v>6.2630904111491</v>
      </c>
      <c r="AI290" s="32">
        <f t="shared" si="290"/>
        <v>1.41044444313465</v>
      </c>
      <c r="AJ290" s="32" t="str">
        <f t="shared" si="271"/>
        <v>1+0,00659492504667922i</v>
      </c>
      <c r="AK290" s="32">
        <f t="shared" si="291"/>
        <v>1.00002174628174</v>
      </c>
      <c r="AL290" s="32">
        <f t="shared" si="292"/>
        <v>0.00659482943806922</v>
      </c>
      <c r="AM290" s="32" t="str">
        <f t="shared" si="272"/>
        <v>1-0,0737335035544535i</v>
      </c>
      <c r="AN290" s="32">
        <f t="shared" si="293"/>
        <v>1.00271463016474</v>
      </c>
      <c r="AO290" s="32">
        <f t="shared" si="294"/>
        <v>-0.0736003171550043</v>
      </c>
      <c r="AP290" s="30" t="str">
        <f t="shared" si="295"/>
        <v>1,12621604926448-12,0298488547877i</v>
      </c>
      <c r="AQ290" s="32">
        <f t="shared" si="296"/>
        <v>21.6431009666991</v>
      </c>
      <c r="AR290" s="31">
        <f t="shared" si="297"/>
        <v>-84.6516454796912</v>
      </c>
      <c r="AS290" t="str">
        <f t="shared" si="273"/>
        <v>-0,000338461538461538</v>
      </c>
      <c r="AT290" t="str">
        <f t="shared" si="274"/>
        <v>0,00577234004560691i</v>
      </c>
      <c r="AU290">
        <f t="shared" si="298"/>
        <v>0.00577234004560691</v>
      </c>
      <c r="AV290">
        <f t="shared" si="299"/>
        <v>1.5707963267949</v>
      </c>
      <c r="AW290" t="str">
        <f t="shared" si="275"/>
        <v>1+0,936829420286141i</v>
      </c>
      <c r="AX290">
        <f t="shared" si="300"/>
        <v>1.37027346274883</v>
      </c>
      <c r="AY290">
        <f t="shared" si="301"/>
        <v>0.752794262547043</v>
      </c>
      <c r="AZ290" t="str">
        <f t="shared" si="276"/>
        <v>1+8,17770705788223i</v>
      </c>
      <c r="BA290">
        <f t="shared" si="302"/>
        <v>8.23862201612241</v>
      </c>
      <c r="BB290">
        <f t="shared" si="303"/>
        <v>1.44911676437885</v>
      </c>
      <c r="BC290" s="30" t="str">
        <f t="shared" si="304"/>
        <v>-0,226117477121041+0,270468570819546i</v>
      </c>
      <c r="BD290" s="32">
        <f t="shared" si="305"/>
        <v>-9.05590504107332</v>
      </c>
      <c r="BE290" s="31">
        <f t="shared" si="306"/>
        <v>129.896340534953</v>
      </c>
      <c r="BF290" s="30" t="str">
        <f t="shared" si="307"/>
        <v>0,611226395408796+0,157718307451022i</v>
      </c>
      <c r="BG290" s="68">
        <f t="shared" si="308"/>
        <v>-3.99601350128205</v>
      </c>
      <c r="BH290" s="31">
        <f t="shared" si="309"/>
        <v>14.4687528730315</v>
      </c>
      <c r="BI290" s="30" t="str">
        <f t="shared" si="263"/>
        <v>2,99903889517667+3,02476511847064i</v>
      </c>
      <c r="BJ290" s="68">
        <f t="shared" si="310"/>
        <v>12.5871959256257</v>
      </c>
      <c r="BK290" s="31">
        <f t="shared" si="264"/>
        <v>45.244695055262</v>
      </c>
      <c r="BL290" s="32">
        <f t="shared" si="311"/>
        <v>-3.99601350128205</v>
      </c>
      <c r="BM290" s="31">
        <f t="shared" si="312"/>
        <v>14.4687528730315</v>
      </c>
      <c r="BO290">
        <f t="shared" si="313"/>
        <v>0</v>
      </c>
      <c r="BP290">
        <f t="shared" si="314"/>
        <v>0</v>
      </c>
    </row>
    <row r="291" spans="14:68">
      <c r="N291" s="7">
        <v>73</v>
      </c>
      <c r="O291" s="18">
        <f t="shared" si="315"/>
        <v>5370.31796370253</v>
      </c>
      <c r="P291" s="86" t="str">
        <f t="shared" si="265"/>
        <v>15</v>
      </c>
      <c r="Q291" s="4" t="str">
        <f t="shared" si="266"/>
        <v>1+9,84162168628867i</v>
      </c>
      <c r="R291" s="4">
        <f t="shared" si="277"/>
        <v>9.89229586173136</v>
      </c>
      <c r="S291" s="4">
        <f t="shared" si="278"/>
        <v>1.46953459236272</v>
      </c>
      <c r="T291" s="4" t="str">
        <f t="shared" si="267"/>
        <v>1+0,00674854058488366i</v>
      </c>
      <c r="U291" s="4">
        <f t="shared" si="279"/>
        <v>1.00002277114075</v>
      </c>
      <c r="V291" s="4">
        <f t="shared" si="280"/>
        <v>0.00674843813853829</v>
      </c>
      <c r="W291" t="str">
        <f t="shared" si="268"/>
        <v>1-0,590497301177321i</v>
      </c>
      <c r="X291" s="4">
        <f t="shared" si="281"/>
        <v>1.1613298681674</v>
      </c>
      <c r="Y291" s="4">
        <f t="shared" si="282"/>
        <v>-0.533402920312526</v>
      </c>
      <c r="Z291" t="str">
        <f t="shared" si="269"/>
        <v>0,999794913315333+0,0313325098583883i</v>
      </c>
      <c r="AA291" s="4">
        <f t="shared" si="283"/>
        <v>1.0002857566042</v>
      </c>
      <c r="AB291" s="4">
        <f t="shared" si="284"/>
        <v>0.0313286834725657</v>
      </c>
      <c r="AC291" s="67" t="str">
        <f t="shared" si="285"/>
        <v>-0,776393672540517-1,58005267313299i</v>
      </c>
      <c r="AD291" s="68">
        <f t="shared" si="286"/>
        <v>4.91271124834478</v>
      </c>
      <c r="AE291" s="31">
        <f t="shared" si="287"/>
        <v>-116.168210421759</v>
      </c>
      <c r="AF291" s="32" t="str">
        <f t="shared" si="288"/>
        <v>75,4669735059805</v>
      </c>
      <c r="AG291" s="32" t="str">
        <f t="shared" si="270"/>
        <v>1+6,32675679832843i</v>
      </c>
      <c r="AH291" s="32">
        <f t="shared" si="289"/>
        <v>6.40529871162891</v>
      </c>
      <c r="AI291" s="32">
        <f t="shared" si="290"/>
        <v>1.41403431780742</v>
      </c>
      <c r="AJ291" s="32" t="str">
        <f t="shared" si="271"/>
        <v>1+0,00674854058488366i</v>
      </c>
      <c r="AK291" s="32">
        <f t="shared" si="291"/>
        <v>1.00002277114075</v>
      </c>
      <c r="AL291" s="32">
        <f t="shared" si="292"/>
        <v>0.00674843813853829</v>
      </c>
      <c r="AM291" s="32" t="str">
        <f t="shared" si="272"/>
        <v>1-0,0754509774835802i</v>
      </c>
      <c r="AN291" s="32">
        <f t="shared" si="293"/>
        <v>1.00284238542416</v>
      </c>
      <c r="AO291" s="32">
        <f t="shared" si="294"/>
        <v>-0.0753082875224567</v>
      </c>
      <c r="AP291" s="30" t="str">
        <f t="shared" si="295"/>
        <v>1,04082108402571-11,7697868544335i</v>
      </c>
      <c r="AQ291" s="32">
        <f t="shared" si="296"/>
        <v>21.449202324005</v>
      </c>
      <c r="AR291" s="31">
        <f t="shared" si="297"/>
        <v>-84.9463885107768</v>
      </c>
      <c r="AS291" t="str">
        <f t="shared" si="273"/>
        <v>-0,000338461538461538</v>
      </c>
      <c r="AT291" t="str">
        <f t="shared" si="274"/>
        <v>0,00590679511773112i</v>
      </c>
      <c r="AU291">
        <f t="shared" si="298"/>
        <v>0.00590679511773112</v>
      </c>
      <c r="AV291">
        <f t="shared" si="299"/>
        <v>1.5707963267949</v>
      </c>
      <c r="AW291" t="str">
        <f t="shared" si="275"/>
        <v>1+0,958650980741248i</v>
      </c>
      <c r="AX291">
        <f t="shared" si="300"/>
        <v>1.38528397914513</v>
      </c>
      <c r="AY291">
        <f t="shared" si="301"/>
        <v>0.764290330203276</v>
      </c>
      <c r="AZ291" t="str">
        <f t="shared" si="276"/>
        <v>1+8,36819032525574i</v>
      </c>
      <c r="BA291">
        <f t="shared" si="302"/>
        <v>8.42772859789064</v>
      </c>
      <c r="BB291">
        <f t="shared" si="303"/>
        <v>1.45186018410632</v>
      </c>
      <c r="BC291" s="30" t="str">
        <f t="shared" si="304"/>
        <v>-0,2212437455063+0,269395902376846i</v>
      </c>
      <c r="BD291" s="32">
        <f t="shared" si="305"/>
        <v>-9.15341706620075</v>
      </c>
      <c r="BE291" s="31">
        <f t="shared" si="306"/>
        <v>129.394850749071</v>
      </c>
      <c r="BF291" s="30" t="str">
        <f t="shared" si="307"/>
        <v>0,597431959781865+0,140419497487458i</v>
      </c>
      <c r="BG291" s="68">
        <f t="shared" si="308"/>
        <v>-4.24070581785598</v>
      </c>
      <c r="BH291" s="31">
        <f t="shared" si="309"/>
        <v>13.2266403273123</v>
      </c>
      <c r="BI291" s="30" t="str">
        <f t="shared" si="263"/>
        <v>2,94045719540148+2,88438466262963i</v>
      </c>
      <c r="BJ291" s="68">
        <f t="shared" si="310"/>
        <v>12.2957852578043</v>
      </c>
      <c r="BK291" s="31">
        <f t="shared" si="264"/>
        <v>44.448462238294</v>
      </c>
      <c r="BL291" s="32">
        <f t="shared" si="311"/>
        <v>-4.24070581785598</v>
      </c>
      <c r="BM291" s="31">
        <f t="shared" si="312"/>
        <v>13.2266403273123</v>
      </c>
      <c r="BO291">
        <f t="shared" si="313"/>
        <v>0</v>
      </c>
      <c r="BP291">
        <f t="shared" si="314"/>
        <v>0</v>
      </c>
    </row>
    <row r="292" spans="14:68">
      <c r="N292" s="7">
        <v>74</v>
      </c>
      <c r="O292" s="18">
        <f t="shared" si="315"/>
        <v>5495.40873857625</v>
      </c>
      <c r="P292" s="86" t="str">
        <f t="shared" si="265"/>
        <v>15</v>
      </c>
      <c r="Q292" s="4" t="str">
        <f t="shared" si="266"/>
        <v>1+10,0708625042575i</v>
      </c>
      <c r="R292" s="4">
        <f t="shared" si="277"/>
        <v>10.1203889045659</v>
      </c>
      <c r="S292" s="4">
        <f t="shared" si="278"/>
        <v>1.47182439488925</v>
      </c>
      <c r="T292" s="4" t="str">
        <f t="shared" si="267"/>
        <v>1+0,00690573428863372i</v>
      </c>
      <c r="U292" s="4">
        <f t="shared" si="279"/>
        <v>1.00002384429876</v>
      </c>
      <c r="V292" s="4">
        <f t="shared" si="280"/>
        <v>0.00690562451553826</v>
      </c>
      <c r="W292" t="str">
        <f t="shared" si="268"/>
        <v>1-0,604251750255451i</v>
      </c>
      <c r="X292" s="4">
        <f t="shared" si="281"/>
        <v>1.16838357472483</v>
      </c>
      <c r="Y292" s="4">
        <f t="shared" si="282"/>
        <v>-0.543539923872429</v>
      </c>
      <c r="Z292" t="str">
        <f t="shared" si="269"/>
        <v>0,99978524787766+0,0320623377686565i</v>
      </c>
      <c r="AA292" s="4">
        <f t="shared" si="283"/>
        <v>1.00029922292131</v>
      </c>
      <c r="AB292" s="4">
        <f t="shared" si="284"/>
        <v>0.0320582377753136</v>
      </c>
      <c r="AC292" s="67" t="str">
        <f t="shared" si="285"/>
        <v>-0,783628345899185-1,54374709028359i</v>
      </c>
      <c r="AD292" s="68">
        <f t="shared" si="286"/>
        <v>4.76719848234154</v>
      </c>
      <c r="AE292" s="31">
        <f t="shared" si="287"/>
        <v>-116.913008229812</v>
      </c>
      <c r="AF292" s="32" t="str">
        <f t="shared" si="288"/>
        <v>75,4669735059805</v>
      </c>
      <c r="AG292" s="32" t="str">
        <f t="shared" si="270"/>
        <v>1+6,47412589559412i</v>
      </c>
      <c r="AH292" s="32">
        <f t="shared" si="289"/>
        <v>6.5509011679312</v>
      </c>
      <c r="AI292" s="32">
        <f t="shared" si="290"/>
        <v>1.4175464178693</v>
      </c>
      <c r="AJ292" s="32" t="str">
        <f t="shared" si="271"/>
        <v>1+0,00690573428863372i</v>
      </c>
      <c r="AK292" s="32">
        <f t="shared" si="291"/>
        <v>1.00002384429876</v>
      </c>
      <c r="AL292" s="32">
        <f t="shared" si="292"/>
        <v>0.00690562451553826</v>
      </c>
      <c r="AM292" s="32" t="str">
        <f t="shared" si="272"/>
        <v>1-0,0772084565196807i</v>
      </c>
      <c r="AN292" s="32">
        <f t="shared" si="293"/>
        <v>1.00297614416204</v>
      </c>
      <c r="AO292" s="32">
        <f t="shared" si="294"/>
        <v>-0.0770555859641507</v>
      </c>
      <c r="AP292" s="30" t="str">
        <f t="shared" si="295"/>
        <v>0,9590861844445-11,5147783788274i</v>
      </c>
      <c r="AQ292" s="32">
        <f t="shared" si="296"/>
        <v>21.2551368993346</v>
      </c>
      <c r="AR292" s="31">
        <f t="shared" si="297"/>
        <v>-85.2387237318101</v>
      </c>
      <c r="AS292" t="str">
        <f t="shared" si="273"/>
        <v>-0,000338461538461538</v>
      </c>
      <c r="AT292" t="str">
        <f t="shared" si="274"/>
        <v>0,00604438205081244i</v>
      </c>
      <c r="AU292">
        <f t="shared" si="298"/>
        <v>0.00604438205081244</v>
      </c>
      <c r="AV292">
        <f t="shared" si="299"/>
        <v>1.5707963267949</v>
      </c>
      <c r="AW292" t="str">
        <f t="shared" si="275"/>
        <v>1+0,980980830635592i</v>
      </c>
      <c r="AX292">
        <f t="shared" si="300"/>
        <v>1.40082953640852</v>
      </c>
      <c r="AY292">
        <f t="shared" si="301"/>
        <v>0.775797573262511</v>
      </c>
      <c r="AZ292" t="str">
        <f t="shared" si="276"/>
        <v>1+8,56311051790581i</v>
      </c>
      <c r="BA292">
        <f t="shared" si="302"/>
        <v>8.62130278681065</v>
      </c>
      <c r="BB292">
        <f t="shared" si="303"/>
        <v>1.45454289525069</v>
      </c>
      <c r="BC292" s="30" t="str">
        <f t="shared" si="304"/>
        <v>-0,21636053413124+0,268241589619854i</v>
      </c>
      <c r="BD292" s="32">
        <f t="shared" si="305"/>
        <v>-9.25309950378455</v>
      </c>
      <c r="BE292" s="31">
        <f t="shared" si="306"/>
        <v>128.889242314171</v>
      </c>
      <c r="BF292" s="30" t="str">
        <f t="shared" si="307"/>
        <v>0,583643420947822+0,123804231842131i</v>
      </c>
      <c r="BG292" s="68">
        <f t="shared" si="308"/>
        <v>-4.48590102144301</v>
      </c>
      <c r="BH292" s="31">
        <f t="shared" si="309"/>
        <v>11.9762340843583</v>
      </c>
      <c r="BI292" s="30" t="str">
        <f t="shared" si="263"/>
        <v>2,88123405731268+2,74861040314378i</v>
      </c>
      <c r="BJ292" s="68">
        <f t="shared" si="310"/>
        <v>12.0020373955501</v>
      </c>
      <c r="BK292" s="31">
        <f t="shared" si="264"/>
        <v>43.6505185823605</v>
      </c>
      <c r="BL292" s="32">
        <f t="shared" si="311"/>
        <v>-4.48590102144301</v>
      </c>
      <c r="BM292" s="31">
        <f t="shared" si="312"/>
        <v>11.9762340843583</v>
      </c>
      <c r="BO292">
        <f t="shared" si="313"/>
        <v>0</v>
      </c>
      <c r="BP292">
        <f t="shared" si="314"/>
        <v>0</v>
      </c>
    </row>
    <row r="293" spans="14:68">
      <c r="N293" s="7">
        <v>75</v>
      </c>
      <c r="O293" s="18">
        <f t="shared" si="315"/>
        <v>5623.4132519035</v>
      </c>
      <c r="P293" s="86" t="str">
        <f t="shared" si="265"/>
        <v>15</v>
      </c>
      <c r="Q293" s="4" t="str">
        <f t="shared" si="266"/>
        <v>1+10,3054430268297i</v>
      </c>
      <c r="R293" s="4">
        <f t="shared" si="277"/>
        <v>10.3538473998429</v>
      </c>
      <c r="S293" s="4">
        <f t="shared" si="278"/>
        <v>1.47406308175103</v>
      </c>
      <c r="T293" s="4" t="str">
        <f t="shared" si="267"/>
        <v>1+0,0070665895041118i</v>
      </c>
      <c r="U293" s="4">
        <f t="shared" si="279"/>
        <v>1.00002496803191</v>
      </c>
      <c r="V293" s="4">
        <f t="shared" si="280"/>
        <v>0.00706647188027943</v>
      </c>
      <c r="W293" t="str">
        <f t="shared" si="268"/>
        <v>1-0,618326581609783i</v>
      </c>
      <c r="X293" s="4">
        <f t="shared" si="281"/>
        <v>1.17572435609935</v>
      </c>
      <c r="Y293" s="4">
        <f t="shared" si="282"/>
        <v>-0.55378605337573</v>
      </c>
      <c r="Z293" t="str">
        <f t="shared" si="269"/>
        <v>0,999775126921944+0,0328091655548047i</v>
      </c>
      <c r="AA293" s="4">
        <f t="shared" si="283"/>
        <v>1.0003133237922</v>
      </c>
      <c r="AB293" s="4">
        <f t="shared" si="284"/>
        <v>0.0328047723921788</v>
      </c>
      <c r="AC293" s="67" t="str">
        <f t="shared" si="285"/>
        <v>-0,790541350394721-1,50819577738884i</v>
      </c>
      <c r="AD293" s="68">
        <f t="shared" si="286"/>
        <v>4.62339608265075</v>
      </c>
      <c r="AE293" s="31">
        <f t="shared" si="287"/>
        <v>-117.661892923189</v>
      </c>
      <c r="AF293" s="32" t="str">
        <f t="shared" si="288"/>
        <v>75,4669735059805</v>
      </c>
      <c r="AG293" s="32" t="str">
        <f t="shared" si="270"/>
        <v>1+6,62492766010482i</v>
      </c>
      <c r="AH293" s="32">
        <f t="shared" si="289"/>
        <v>6.69997511201511</v>
      </c>
      <c r="AI293" s="32">
        <f t="shared" si="290"/>
        <v>1.4209822587348</v>
      </c>
      <c r="AJ293" s="32" t="str">
        <f t="shared" si="271"/>
        <v>1+0,0070665895041118i</v>
      </c>
      <c r="AK293" s="32">
        <f t="shared" si="291"/>
        <v>1.00002496803191</v>
      </c>
      <c r="AL293" s="32">
        <f t="shared" si="292"/>
        <v>0.00706647188027943</v>
      </c>
      <c r="AM293" s="32" t="str">
        <f t="shared" si="272"/>
        <v>1-0,0790068725014025i</v>
      </c>
      <c r="AN293" s="32">
        <f t="shared" si="293"/>
        <v>1.00311618763853</v>
      </c>
      <c r="AO293" s="32">
        <f t="shared" si="294"/>
        <v>-0.0788430962202403</v>
      </c>
      <c r="AP293" s="30" t="str">
        <f t="shared" si="295"/>
        <v>0,880862200586721-11,2647637883771i</v>
      </c>
      <c r="AQ293" s="32">
        <f t="shared" si="296"/>
        <v>21.060916526091</v>
      </c>
      <c r="AR293" s="31">
        <f t="shared" si="297"/>
        <v>-85.5287838308466</v>
      </c>
      <c r="AS293" t="str">
        <f t="shared" si="273"/>
        <v>-0,000338461538461538</v>
      </c>
      <c r="AT293" t="str">
        <f t="shared" si="274"/>
        <v>0,00618517379526394i</v>
      </c>
      <c r="AU293">
        <f t="shared" si="298"/>
        <v>0.00618517379526394</v>
      </c>
      <c r="AV293">
        <f t="shared" si="299"/>
        <v>1.5707963267949</v>
      </c>
      <c r="AW293" t="str">
        <f t="shared" si="275"/>
        <v>1+1,00383080955115i</v>
      </c>
      <c r="AX293">
        <f t="shared" si="300"/>
        <v>1.41692494303831</v>
      </c>
      <c r="AY293">
        <f t="shared" si="301"/>
        <v>0.787309904082342</v>
      </c>
      <c r="AZ293" t="str">
        <f t="shared" si="276"/>
        <v>1+8,76257098509863i</v>
      </c>
      <c r="BA293">
        <f t="shared" si="302"/>
        <v>8.81944727683614</v>
      </c>
      <c r="BB293">
        <f t="shared" si="303"/>
        <v>1.45716616567928</v>
      </c>
      <c r="BC293" s="30" t="str">
        <f t="shared" si="304"/>
        <v>-0,21147300391025+0,267004544059702i</v>
      </c>
      <c r="BD293" s="32">
        <f t="shared" si="305"/>
        <v>-9.35496120508498</v>
      </c>
      <c r="BE293" s="31">
        <f t="shared" si="306"/>
        <v>128.379936669916</v>
      </c>
      <c r="BF293" s="30" t="str">
        <f t="shared" si="307"/>
        <v>0,569873279977712+0,107864558706689i</v>
      </c>
      <c r="BG293" s="68">
        <f t="shared" si="308"/>
        <v>-4.73156512243423</v>
      </c>
      <c r="BH293" s="31">
        <f t="shared" si="309"/>
        <v>10.7180437467267</v>
      </c>
      <c r="BI293" s="30" t="str">
        <f t="shared" si="263"/>
        <v>2,8214645436668+2,6173876469146i</v>
      </c>
      <c r="BJ293" s="68">
        <f t="shared" si="310"/>
        <v>11.705955321006</v>
      </c>
      <c r="BK293" s="31">
        <f t="shared" si="264"/>
        <v>42.8511528390691</v>
      </c>
      <c r="BL293" s="32">
        <f t="shared" si="311"/>
        <v>-4.73156512243423</v>
      </c>
      <c r="BM293" s="31">
        <f t="shared" si="312"/>
        <v>10.7180437467267</v>
      </c>
      <c r="BO293">
        <f t="shared" si="313"/>
        <v>0</v>
      </c>
      <c r="BP293">
        <f t="shared" si="314"/>
        <v>0</v>
      </c>
    </row>
    <row r="294" spans="14:68">
      <c r="N294" s="7">
        <v>76</v>
      </c>
      <c r="O294" s="18">
        <f t="shared" si="315"/>
        <v>5754.39937337157</v>
      </c>
      <c r="P294" s="86" t="str">
        <f t="shared" si="265"/>
        <v>15</v>
      </c>
      <c r="Q294" s="4" t="str">
        <f t="shared" si="266"/>
        <v>1+10,5454876317034i</v>
      </c>
      <c r="R294" s="4">
        <f t="shared" si="277"/>
        <v>10.5927951641863</v>
      </c>
      <c r="S294" s="4">
        <f t="shared" si="278"/>
        <v>1.47625175012282</v>
      </c>
      <c r="T294" s="4" t="str">
        <f t="shared" si="267"/>
        <v>1+0,00723119151888232i</v>
      </c>
      <c r="U294" s="4">
        <f t="shared" si="279"/>
        <v>1.00002614472362</v>
      </c>
      <c r="V294" s="4">
        <f t="shared" si="280"/>
        <v>0.00723106548285315</v>
      </c>
      <c r="W294" t="str">
        <f t="shared" si="268"/>
        <v>1-0,632729257902204i</v>
      </c>
      <c r="X294" s="4">
        <f t="shared" si="281"/>
        <v>1.18336229186394</v>
      </c>
      <c r="Y294" s="4">
        <f t="shared" si="282"/>
        <v>-0.56413813566147</v>
      </c>
      <c r="Z294" t="str">
        <f t="shared" si="269"/>
        <v>0,999764528980279+0,0335733891948107i</v>
      </c>
      <c r="AA294" s="4">
        <f t="shared" si="283"/>
        <v>1.00032808911336</v>
      </c>
      <c r="AB294" s="4">
        <f t="shared" si="284"/>
        <v>0.0335686819028831</v>
      </c>
      <c r="AC294" s="67" t="str">
        <f t="shared" si="285"/>
        <v>-0,797146514083214-1,47338410096835i</v>
      </c>
      <c r="AD294" s="68">
        <f t="shared" si="286"/>
        <v>4.4813460292353</v>
      </c>
      <c r="AE294" s="31">
        <f t="shared" si="287"/>
        <v>-118.414763279922</v>
      </c>
      <c r="AF294" s="32" t="str">
        <f t="shared" si="288"/>
        <v>75,4669735059805</v>
      </c>
      <c r="AG294" s="32" t="str">
        <f t="shared" si="270"/>
        <v>1+6,77924204895218i</v>
      </c>
      <c r="AH294" s="32">
        <f t="shared" si="289"/>
        <v>6.85259970801457</v>
      </c>
      <c r="AI294" s="32">
        <f t="shared" si="290"/>
        <v>1.4243433374841</v>
      </c>
      <c r="AJ294" s="32" t="str">
        <f t="shared" si="271"/>
        <v>1+0,00723119151888232i</v>
      </c>
      <c r="AK294" s="32">
        <f t="shared" si="291"/>
        <v>1.00002614472362</v>
      </c>
      <c r="AL294" s="32">
        <f t="shared" si="292"/>
        <v>0.00723106548285315</v>
      </c>
      <c r="AM294" s="32" t="str">
        <f t="shared" si="272"/>
        <v>1-0,0808471789727041i</v>
      </c>
      <c r="AN294" s="32">
        <f t="shared" si="293"/>
        <v>1.00326281020869</v>
      </c>
      <c r="AO294" s="32">
        <f t="shared" si="294"/>
        <v>-0.0806717203352838</v>
      </c>
      <c r="AP294" s="30" t="str">
        <f t="shared" si="295"/>
        <v>0,806005393625337-11,0196814309413i</v>
      </c>
      <c r="AQ294" s="32">
        <f t="shared" si="296"/>
        <v>20.8665527657301</v>
      </c>
      <c r="AR294" s="31">
        <f t="shared" si="297"/>
        <v>-85.8167013831378</v>
      </c>
      <c r="AS294" t="str">
        <f t="shared" si="273"/>
        <v>-0,000338461538461538</v>
      </c>
      <c r="AT294" t="str">
        <f t="shared" si="274"/>
        <v>0,00632924500073214i</v>
      </c>
      <c r="AU294">
        <f t="shared" si="298"/>
        <v>0.00632924500073214</v>
      </c>
      <c r="AV294">
        <f t="shared" si="299"/>
        <v>1.5707963267949</v>
      </c>
      <c r="AW294" t="str">
        <f t="shared" si="275"/>
        <v>1+1,02721303284921i</v>
      </c>
      <c r="AX294">
        <f t="shared" si="300"/>
        <v>1.4335852311095</v>
      </c>
      <c r="AY294">
        <f t="shared" si="301"/>
        <v>0.798821221550481</v>
      </c>
      <c r="AZ294" t="str">
        <f t="shared" si="276"/>
        <v>1+8,96667748341407i</v>
      </c>
      <c r="BA294">
        <f t="shared" si="302"/>
        <v>9.02226718134444</v>
      </c>
      <c r="BB294">
        <f t="shared" si="303"/>
        <v>1.45973124178952</v>
      </c>
      <c r="BC294" s="30" t="str">
        <f t="shared" si="304"/>
        <v>-0,206586334045058+0,265683990326221i</v>
      </c>
      <c r="BD294" s="32">
        <f t="shared" si="305"/>
        <v>-9.45900834639522</v>
      </c>
      <c r="BE294" s="31">
        <f t="shared" si="306"/>
        <v>127.867354797602</v>
      </c>
      <c r="BF294" s="30" t="str">
        <f t="shared" si="307"/>
        <v>0,556134143269731+0,0925919533230596i</v>
      </c>
      <c r="BG294" s="68">
        <f t="shared" si="308"/>
        <v>-4.97766231715993</v>
      </c>
      <c r="BH294" s="31">
        <f t="shared" si="309"/>
        <v>9.45259151768063</v>
      </c>
      <c r="BI294" s="30" t="str">
        <f t="shared" si="263"/>
        <v>2,76124323520664+2,4906583183654i</v>
      </c>
      <c r="BJ294" s="68">
        <f t="shared" si="310"/>
        <v>11.4075444193348</v>
      </c>
      <c r="BK294" s="31">
        <f t="shared" si="264"/>
        <v>42.0506534144647</v>
      </c>
      <c r="BL294" s="32">
        <f t="shared" si="311"/>
        <v>-4.97766231715993</v>
      </c>
      <c r="BM294" s="31">
        <f t="shared" si="312"/>
        <v>9.45259151768063</v>
      </c>
      <c r="BO294">
        <f t="shared" si="313"/>
        <v>0</v>
      </c>
      <c r="BP294">
        <f t="shared" si="314"/>
        <v>0</v>
      </c>
    </row>
    <row r="295" spans="14:68">
      <c r="N295" s="7">
        <v>77</v>
      </c>
      <c r="O295" s="18">
        <f t="shared" si="315"/>
        <v>5888.4365535559</v>
      </c>
      <c r="P295" s="86" t="str">
        <f t="shared" si="265"/>
        <v>15</v>
      </c>
      <c r="Q295" s="4" t="str">
        <f t="shared" si="266"/>
        <v>1+10,7911235937055i</v>
      </c>
      <c r="R295" s="4">
        <f t="shared" si="277"/>
        <v>10.8373589224786</v>
      </c>
      <c r="S295" s="4">
        <f t="shared" si="278"/>
        <v>1.47839147654488</v>
      </c>
      <c r="T295" s="4" t="str">
        <f t="shared" si="267"/>
        <v>1+0,00739962760711232i</v>
      </c>
      <c r="U295" s="4">
        <f t="shared" si="279"/>
        <v>1.00002737686962</v>
      </c>
      <c r="V295" s="4">
        <f t="shared" si="280"/>
        <v>0.00739949255727359</v>
      </c>
      <c r="W295" t="str">
        <f t="shared" si="268"/>
        <v>1-0,647467415622328i</v>
      </c>
      <c r="X295" s="4">
        <f t="shared" si="281"/>
        <v>1.19130770764427</v>
      </c>
      <c r="Y295" s="4">
        <f t="shared" si="282"/>
        <v>-0.574592784101467</v>
      </c>
      <c r="Z295" t="str">
        <f t="shared" si="269"/>
        <v>0,999753431573012+0,0343554138901642i</v>
      </c>
      <c r="AA295" s="4">
        <f t="shared" si="283"/>
        <v>1.00034355018942</v>
      </c>
      <c r="AB295" s="4">
        <f t="shared" si="284"/>
        <v>0.0343503700107537</v>
      </c>
      <c r="AC295" s="67" t="str">
        <f t="shared" si="285"/>
        <v>-0,803457084271453-1,43929754731297i</v>
      </c>
      <c r="AD295" s="68">
        <f t="shared" si="286"/>
        <v>4.34108933638275</v>
      </c>
      <c r="AE295" s="31">
        <f t="shared" si="287"/>
        <v>-119.17150507408</v>
      </c>
      <c r="AF295" s="32" t="str">
        <f t="shared" si="288"/>
        <v>75,4669735059805</v>
      </c>
      <c r="AG295" s="32" t="str">
        <f t="shared" si="270"/>
        <v>1+6,9371508816678i</v>
      </c>
      <c r="AH295" s="32">
        <f t="shared" si="289"/>
        <v>7.00885599474153</v>
      </c>
      <c r="AI295" s="32">
        <f t="shared" si="290"/>
        <v>1.42763113229146</v>
      </c>
      <c r="AJ295" s="32" t="str">
        <f t="shared" si="271"/>
        <v>1+0,00739962760711232i</v>
      </c>
      <c r="AK295" s="32">
        <f t="shared" si="291"/>
        <v>1.00002737686962</v>
      </c>
      <c r="AL295" s="32">
        <f t="shared" si="292"/>
        <v>0.00739949255727359</v>
      </c>
      <c r="AM295" s="32" t="str">
        <f t="shared" si="272"/>
        <v>1-0,0827303516884362i</v>
      </c>
      <c r="AN295" s="32">
        <f t="shared" si="293"/>
        <v>1.00341631992433</v>
      </c>
      <c r="AO295" s="32">
        <f t="shared" si="294"/>
        <v>-0.082542378925313</v>
      </c>
      <c r="AP295" s="30" t="str">
        <f t="shared" si="295"/>
        <v>0,734377298257726-10,779467880517i</v>
      </c>
      <c r="AQ295" s="32">
        <f t="shared" si="296"/>
        <v>20.6720569267812</v>
      </c>
      <c r="AR295" s="31">
        <f t="shared" si="297"/>
        <v>-86.1026088311035</v>
      </c>
      <c r="AS295" t="str">
        <f t="shared" si="273"/>
        <v>-0,000338461538461538</v>
      </c>
      <c r="AT295" t="str">
        <f t="shared" si="274"/>
        <v>0,0064766720556772i</v>
      </c>
      <c r="AU295">
        <f t="shared" si="298"/>
        <v>0.0064766720556772</v>
      </c>
      <c r="AV295">
        <f t="shared" si="299"/>
        <v>1.5707963267949</v>
      </c>
      <c r="AW295" t="str">
        <f t="shared" si="275"/>
        <v>1+1,05113989809406i</v>
      </c>
      <c r="AX295">
        <f t="shared" si="300"/>
        <v>1.45082565643333</v>
      </c>
      <c r="AY295">
        <f t="shared" si="301"/>
        <v>0.810325427238628</v>
      </c>
      <c r="AZ295" t="str">
        <f t="shared" si="276"/>
        <v>1+9,17553823281927i</v>
      </c>
      <c r="BA295">
        <f t="shared" si="302"/>
        <v>9.22987008911437</v>
      </c>
      <c r="BB295">
        <f t="shared" si="303"/>
        <v>1.46223934852787</v>
      </c>
      <c r="BC295" s="30" t="str">
        <f t="shared" si="304"/>
        <v>-0,20170570009245+0,26427946645236i</v>
      </c>
      <c r="BD295" s="32">
        <f t="shared" si="305"/>
        <v>-9.56524443518838</v>
      </c>
      <c r="BE295" s="31">
        <f t="shared" si="306"/>
        <v>127.351916295697</v>
      </c>
      <c r="BF295" s="30" t="str">
        <f t="shared" si="307"/>
        <v>0,542438661547274+0,0779773098734804i</v>
      </c>
      <c r="BG295" s="68">
        <f t="shared" si="308"/>
        <v>-5.22415509880563</v>
      </c>
      <c r="BH295" s="31">
        <f t="shared" si="309"/>
        <v>8.18041122161719</v>
      </c>
      <c r="BI295" s="30" t="str">
        <f t="shared" si="263"/>
        <v>2,70066393302631+2,36836095602204i</v>
      </c>
      <c r="BJ295" s="68">
        <f t="shared" si="310"/>
        <v>11.1068124915928</v>
      </c>
      <c r="BK295" s="31">
        <f t="shared" si="264"/>
        <v>41.2493074645936</v>
      </c>
      <c r="BL295" s="32">
        <f t="shared" si="311"/>
        <v>-5.22415509880563</v>
      </c>
      <c r="BM295" s="31">
        <f t="shared" si="312"/>
        <v>8.18041122161719</v>
      </c>
      <c r="BO295">
        <f t="shared" si="313"/>
        <v>0</v>
      </c>
      <c r="BP295">
        <f t="shared" si="314"/>
        <v>0</v>
      </c>
    </row>
    <row r="296" spans="14:68">
      <c r="N296" s="7">
        <v>78</v>
      </c>
      <c r="O296" s="18">
        <f t="shared" si="315"/>
        <v>6025.59586074359</v>
      </c>
      <c r="P296" s="86" t="str">
        <f t="shared" si="265"/>
        <v>15</v>
      </c>
      <c r="Q296" s="4" t="str">
        <f t="shared" si="266"/>
        <v>1+11,0424811522743i</v>
      </c>
      <c r="R296" s="4">
        <f t="shared" si="277"/>
        <v>11.0876683751965</v>
      </c>
      <c r="S296" s="4">
        <f t="shared" si="278"/>
        <v>1.48048331711257</v>
      </c>
      <c r="T296" s="4" t="str">
        <f t="shared" si="267"/>
        <v>1+0,00757198707584524i</v>
      </c>
      <c r="U296" s="4">
        <f t="shared" si="279"/>
        <v>1.00002866708324</v>
      </c>
      <c r="V296" s="4">
        <f t="shared" si="280"/>
        <v>0.00757184236755991</v>
      </c>
      <c r="W296" t="str">
        <f t="shared" si="268"/>
        <v>1-0,662548869136459i</v>
      </c>
      <c r="X296" s="4">
        <f t="shared" si="281"/>
        <v>1.19957117504298</v>
      </c>
      <c r="Y296" s="4">
        <f t="shared" si="282"/>
        <v>-0.585146400116899</v>
      </c>
      <c r="Z296" t="str">
        <f t="shared" si="269"/>
        <v>0,999741811161052+0,0351556542807099i</v>
      </c>
      <c r="AA296" s="4">
        <f t="shared" si="283"/>
        <v>1.00035973979938</v>
      </c>
      <c r="AB296" s="4">
        <f t="shared" si="284"/>
        <v>0.0351502497504331</v>
      </c>
      <c r="AC296" s="67" t="str">
        <f t="shared" si="285"/>
        <v>-0,809485749431518-1,40592173210254i</v>
      </c>
      <c r="AD296" s="68">
        <f t="shared" si="286"/>
        <v>4.20266594599871</v>
      </c>
      <c r="AE296" s="31">
        <f t="shared" si="287"/>
        <v>-119.931991182781</v>
      </c>
      <c r="AF296" s="32" t="str">
        <f t="shared" si="288"/>
        <v>75,4669735059805</v>
      </c>
      <c r="AG296" s="32" t="str">
        <f t="shared" si="270"/>
        <v>1+7,09873788360492i</v>
      </c>
      <c r="AH296" s="32">
        <f t="shared" si="289"/>
        <v>7.16882692915149</v>
      </c>
      <c r="AI296" s="32">
        <f t="shared" si="290"/>
        <v>1.43084710192343</v>
      </c>
      <c r="AJ296" s="32" t="str">
        <f t="shared" si="271"/>
        <v>1+0,00757198707584524i</v>
      </c>
      <c r="AK296" s="32">
        <f t="shared" si="291"/>
        <v>1.00002866708324</v>
      </c>
      <c r="AL296" s="32">
        <f t="shared" si="292"/>
        <v>0.00757184236755991</v>
      </c>
      <c r="AM296" s="32" t="str">
        <f t="shared" si="272"/>
        <v>1-0,084657389131699i</v>
      </c>
      <c r="AN296" s="32">
        <f t="shared" si="293"/>
        <v>1.00357703916271</v>
      </c>
      <c r="AO296" s="32">
        <f t="shared" si="294"/>
        <v>-0.084456011440188</v>
      </c>
      <c r="AP296" s="30" t="str">
        <f t="shared" si="295"/>
        <v>0,6658445830444-10,5440581608974i</v>
      </c>
      <c r="AQ296" s="32">
        <f t="shared" si="296"/>
        <v>20.4774400837142</v>
      </c>
      <c r="AR296" s="31">
        <f t="shared" si="297"/>
        <v>-86.3866384679697</v>
      </c>
      <c r="AS296" t="str">
        <f t="shared" si="273"/>
        <v>-0,000338461538461538</v>
      </c>
      <c r="AT296" t="str">
        <f t="shared" si="274"/>
        <v>0,00662753312787507i</v>
      </c>
      <c r="AU296">
        <f t="shared" si="298"/>
        <v>0.00662753312787507</v>
      </c>
      <c r="AV296">
        <f t="shared" si="299"/>
        <v>1.5707963267949</v>
      </c>
      <c r="AW296" t="str">
        <f t="shared" si="275"/>
        <v>1+1,07562409162636i</v>
      </c>
      <c r="AX296">
        <f t="shared" si="300"/>
        <v>1.46866169912851</v>
      </c>
      <c r="AY296">
        <f t="shared" si="301"/>
        <v>0.821816441539042</v>
      </c>
      <c r="AZ296" t="str">
        <f t="shared" si="276"/>
        <v>1+9,38926397404809i</v>
      </c>
      <c r="BA296">
        <f t="shared" si="302"/>
        <v>9.44236612160095</v>
      </c>
      <c r="BB296">
        <f t="shared" si="303"/>
        <v>1.46469168943723</v>
      </c>
      <c r="BC296" s="30" t="str">
        <f t="shared" si="304"/>
        <v>-0,196836252064744+0,262790822242926i</v>
      </c>
      <c r="BD296" s="32">
        <f t="shared" si="305"/>
        <v>-9.67367032626101</v>
      </c>
      <c r="BE296" s="31">
        <f t="shared" si="306"/>
        <v>126.834038457992</v>
      </c>
      <c r="BF296" s="30" t="str">
        <f t="shared" si="307"/>
        <v>0,528799469006346+0,0640109387563973i</v>
      </c>
      <c r="BG296" s="68">
        <f t="shared" si="308"/>
        <v>-5.47100438026229</v>
      </c>
      <c r="BH296" s="31">
        <f t="shared" si="309"/>
        <v>6.9020472752113</v>
      </c>
      <c r="BI296" s="30" t="str">
        <f t="shared" si="263"/>
        <v>2,63981936169539+2,25043073540796i</v>
      </c>
      <c r="BJ296" s="68">
        <f t="shared" si="310"/>
        <v>10.8037697574532</v>
      </c>
      <c r="BK296" s="31">
        <f t="shared" si="264"/>
        <v>40.4473999900228</v>
      </c>
      <c r="BL296" s="32">
        <f t="shared" si="311"/>
        <v>-5.47100438026229</v>
      </c>
      <c r="BM296" s="31">
        <f t="shared" si="312"/>
        <v>6.9020472752113</v>
      </c>
      <c r="BO296">
        <f t="shared" si="313"/>
        <v>0</v>
      </c>
      <c r="BP296">
        <f t="shared" si="314"/>
        <v>0</v>
      </c>
    </row>
    <row r="297" spans="14:68">
      <c r="N297" s="7">
        <v>79</v>
      </c>
      <c r="O297" s="18">
        <f t="shared" si="315"/>
        <v>6165.95001861483</v>
      </c>
      <c r="P297" s="86" t="str">
        <f t="shared" si="265"/>
        <v>15</v>
      </c>
      <c r="Q297" s="4" t="str">
        <f t="shared" si="266"/>
        <v>1+11,2996935805146i</v>
      </c>
      <c r="R297" s="4">
        <f t="shared" si="277"/>
        <v>11.3438562673159</v>
      </c>
      <c r="S297" s="4">
        <f t="shared" si="278"/>
        <v>1.48252830767923</v>
      </c>
      <c r="T297" s="4" t="str">
        <f t="shared" si="267"/>
        <v>1+0,00774836131235288i</v>
      </c>
      <c r="U297" s="4">
        <f t="shared" si="279"/>
        <v>1.00003001810097</v>
      </c>
      <c r="V297" s="4">
        <f t="shared" si="280"/>
        <v>0.0077482062548829</v>
      </c>
      <c r="W297" t="str">
        <f t="shared" si="268"/>
        <v>1-0,677981614830877i</v>
      </c>
      <c r="X297" s="4">
        <f t="shared" si="281"/>
        <v>1.20816351130494</v>
      </c>
      <c r="Y297" s="4">
        <f t="shared" si="282"/>
        <v>-0.595795175616993</v>
      </c>
      <c r="Z297" t="str">
        <f t="shared" si="269"/>
        <v>0,99972964309595+0,0359745346644954i</v>
      </c>
      <c r="AA297" s="4">
        <f t="shared" si="283"/>
        <v>1.00037669226601</v>
      </c>
      <c r="AB297" s="4">
        <f t="shared" si="284"/>
        <v>0.0359687437000847</v>
      </c>
      <c r="AC297" s="67" t="str">
        <f t="shared" si="285"/>
        <v>-0,815244660453358-1,37324240903518i</v>
      </c>
      <c r="AD297" s="68">
        <f t="shared" si="286"/>
        <v>4.06611461957257</v>
      </c>
      <c r="AE297" s="31">
        <f t="shared" si="287"/>
        <v>-120.696081747003</v>
      </c>
      <c r="AF297" s="32" t="str">
        <f t="shared" si="288"/>
        <v>75,4669735059805</v>
      </c>
      <c r="AG297" s="32" t="str">
        <f t="shared" si="270"/>
        <v>1+7,26408873033083i</v>
      </c>
      <c r="AH297" s="32">
        <f t="shared" si="289"/>
        <v>7.33259743079622</v>
      </c>
      <c r="AI297" s="32">
        <f t="shared" si="290"/>
        <v>1.43399268530226</v>
      </c>
      <c r="AJ297" s="32" t="str">
        <f t="shared" si="271"/>
        <v>1+0,00774836131235288i</v>
      </c>
      <c r="AK297" s="32">
        <f t="shared" si="291"/>
        <v>1.00003001810097</v>
      </c>
      <c r="AL297" s="32">
        <f t="shared" si="292"/>
        <v>0.0077482062548829</v>
      </c>
      <c r="AM297" s="32" t="str">
        <f t="shared" si="272"/>
        <v>1-0,0866293130432526i</v>
      </c>
      <c r="AN297" s="32">
        <f t="shared" si="293"/>
        <v>1.00374530528334</v>
      </c>
      <c r="AO297" s="32">
        <f t="shared" si="294"/>
        <v>-0.0864135764204025</v>
      </c>
      <c r="AP297" s="30" t="str">
        <f t="shared" si="295"/>
        <v>0,600278909363385-10,3133859549642i</v>
      </c>
      <c r="AQ297" s="32">
        <f t="shared" si="296"/>
        <v>20.2827130956584</v>
      </c>
      <c r="AR297" s="31">
        <f t="shared" si="297"/>
        <v>-86.6689224247698</v>
      </c>
      <c r="AS297" t="str">
        <f t="shared" si="273"/>
        <v>-0,000338461538461538</v>
      </c>
      <c r="AT297" t="str">
        <f t="shared" si="274"/>
        <v>0,0067819082058631i</v>
      </c>
      <c r="AU297">
        <f t="shared" si="298"/>
        <v>0.0067819082058631</v>
      </c>
      <c r="AV297">
        <f t="shared" si="299"/>
        <v>1.5707963267949</v>
      </c>
      <c r="AW297" t="str">
        <f t="shared" si="275"/>
        <v>1+1,1006785952896i</v>
      </c>
      <c r="AX297">
        <f t="shared" si="300"/>
        <v>1.48710906463806</v>
      </c>
      <c r="AY297">
        <f t="shared" si="301"/>
        <v>0.833288219679743</v>
      </c>
      <c r="AZ297" t="str">
        <f t="shared" si="276"/>
        <v>1+9,60796802731757i</v>
      </c>
      <c r="BA297">
        <f t="shared" si="302"/>
        <v>9.65986799153884</v>
      </c>
      <c r="BB297">
        <f t="shared" si="303"/>
        <v>1.46708944673042</v>
      </c>
      <c r="BC297" s="30" t="str">
        <f t="shared" si="304"/>
        <v>-0,19198309275964+0,261218215742851i</v>
      </c>
      <c r="BD297" s="32">
        <f t="shared" si="305"/>
        <v>-9.78428424781738</v>
      </c>
      <c r="BE297" s="31">
        <f t="shared" si="306"/>
        <v>126.314135360216</v>
      </c>
      <c r="BF297" s="30" t="str">
        <f t="shared" si="307"/>
        <v>0,515229123140202+0,0506825691977599i</v>
      </c>
      <c r="BG297" s="68">
        <f t="shared" si="308"/>
        <v>-5.71816962824482</v>
      </c>
      <c r="BH297" s="31">
        <f t="shared" si="309"/>
        <v>5.61805361321361</v>
      </c>
      <c r="BI297" s="30" t="str">
        <f t="shared" si="263"/>
        <v>2,57880087588516+2,13679951810983i</v>
      </c>
      <c r="BJ297" s="68">
        <f t="shared" si="310"/>
        <v>10.498428847841</v>
      </c>
      <c r="BK297" s="31">
        <f t="shared" si="264"/>
        <v>39.6452129354466</v>
      </c>
      <c r="BL297" s="32">
        <f t="shared" si="311"/>
        <v>-5.71816962824482</v>
      </c>
      <c r="BM297" s="31">
        <f t="shared" si="312"/>
        <v>5.61805361321361</v>
      </c>
      <c r="BO297">
        <f t="shared" si="313"/>
        <v>0</v>
      </c>
      <c r="BP297">
        <f t="shared" si="314"/>
        <v>0</v>
      </c>
    </row>
    <row r="298" spans="14:68">
      <c r="N298" s="7">
        <v>80</v>
      </c>
      <c r="O298" s="18">
        <f t="shared" si="315"/>
        <v>6309.57344480194</v>
      </c>
      <c r="P298" s="86" t="str">
        <f t="shared" si="265"/>
        <v>15</v>
      </c>
      <c r="Q298" s="4" t="str">
        <f t="shared" si="266"/>
        <v>1+11,5628972558604i</v>
      </c>
      <c r="R298" s="4">
        <f t="shared" si="277"/>
        <v>11.6060584588216</v>
      </c>
      <c r="S298" s="4">
        <f t="shared" si="278"/>
        <v>1.48452746407107</v>
      </c>
      <c r="T298" s="4" t="str">
        <f t="shared" si="267"/>
        <v>1+0,00792884383259i</v>
      </c>
      <c r="U298" s="4">
        <f t="shared" si="279"/>
        <v>1.00003143278825</v>
      </c>
      <c r="V298" s="4">
        <f t="shared" si="280"/>
        <v>0.00792867768579954</v>
      </c>
      <c r="W298" t="str">
        <f t="shared" si="268"/>
        <v>1-0,693773835351626i</v>
      </c>
      <c r="X298" s="4">
        <f t="shared" si="281"/>
        <v>1.21709577873662</v>
      </c>
      <c r="Y298" s="4">
        <f t="shared" si="282"/>
        <v>-0.606535096388238</v>
      </c>
      <c r="Z298" t="str">
        <f t="shared" si="269"/>
        <v>0,999716901567606+0,0368124892227392i</v>
      </c>
      <c r="AA298" s="4">
        <f t="shared" si="283"/>
        <v>1.00039444352851</v>
      </c>
      <c r="AB298" s="4">
        <f t="shared" si="284"/>
        <v>0.0368062841981735</v>
      </c>
      <c r="AC298" s="67" t="str">
        <f t="shared" si="285"/>
        <v>-0,820745451237092-1,34124547753367i</v>
      </c>
      <c r="AD298" s="68">
        <f t="shared" si="286"/>
        <v>3.93147282947012</v>
      </c>
      <c r="AE298" s="31">
        <f t="shared" si="287"/>
        <v>-121.463624387736</v>
      </c>
      <c r="AF298" s="32" t="str">
        <f t="shared" si="288"/>
        <v>75,4669735059805</v>
      </c>
      <c r="AG298" s="32" t="str">
        <f t="shared" si="270"/>
        <v>1+7,43329109305313i</v>
      </c>
      <c r="AH298" s="32">
        <f t="shared" si="289"/>
        <v>7.50025442728865</v>
      </c>
      <c r="AI298" s="32">
        <f t="shared" si="290"/>
        <v>1.43706930113047</v>
      </c>
      <c r="AJ298" s="32" t="str">
        <f t="shared" si="271"/>
        <v>1+0,00792884383259i</v>
      </c>
      <c r="AK298" s="32">
        <f t="shared" si="291"/>
        <v>1.00003143278825</v>
      </c>
      <c r="AL298" s="32">
        <f t="shared" si="292"/>
        <v>0.00792867768579954</v>
      </c>
      <c r="AM298" s="32" t="str">
        <f t="shared" si="272"/>
        <v>1-0,088647168963256i</v>
      </c>
      <c r="AN298" s="32">
        <f t="shared" si="293"/>
        <v>1.00392147131397</v>
      </c>
      <c r="AO298" s="32">
        <f t="shared" si="294"/>
        <v>-0.088416051747432</v>
      </c>
      <c r="AP298" s="30" t="str">
        <f t="shared" si="295"/>
        <v>0,53755678960578-10,08738380027i</v>
      </c>
      <c r="AQ298" s="32">
        <f t="shared" si="296"/>
        <v>20.0878866249767</v>
      </c>
      <c r="AR298" s="31">
        <f t="shared" si="297"/>
        <v>-86.9495926604131</v>
      </c>
      <c r="AS298" t="str">
        <f t="shared" si="273"/>
        <v>-0,000338461538461538</v>
      </c>
      <c r="AT298" t="str">
        <f t="shared" si="274"/>
        <v>0,00693987914135105i</v>
      </c>
      <c r="AU298">
        <f t="shared" si="298"/>
        <v>0.00693987914135105</v>
      </c>
      <c r="AV298">
        <f t="shared" si="299"/>
        <v>1.5707963267949</v>
      </c>
      <c r="AW298" t="str">
        <f t="shared" si="275"/>
        <v>1+1,12631669331327i</v>
      </c>
      <c r="AX298">
        <f t="shared" si="300"/>
        <v>1.50618368522439</v>
      </c>
      <c r="AY298">
        <f t="shared" si="301"/>
        <v>0.844734767515814</v>
      </c>
      <c r="AZ298" t="str">
        <f t="shared" si="276"/>
        <v>1+9,8317663524116i</v>
      </c>
      <c r="BA298">
        <f t="shared" si="302"/>
        <v>9.88249106290579</v>
      </c>
      <c r="BB298">
        <f t="shared" si="303"/>
        <v>1.46943378138765</v>
      </c>
      <c r="BC298" s="30" t="str">
        <f t="shared" si="304"/>
        <v>-0,187151256512472+0,259562107842924i</v>
      </c>
      <c r="BD298" s="32">
        <f t="shared" si="305"/>
        <v>-9.89708183734942</v>
      </c>
      <c r="BE298" s="31">
        <f t="shared" si="306"/>
        <v>125.792616960841</v>
      </c>
      <c r="BF298" s="30" t="str">
        <f t="shared" si="307"/>
        <v>0,501740045759346+0,0379813570865055i</v>
      </c>
      <c r="BG298" s="68">
        <f t="shared" si="308"/>
        <v>-5.96560900787931</v>
      </c>
      <c r="BH298" s="31">
        <f t="shared" si="309"/>
        <v>4.32899257310442</v>
      </c>
      <c r="BI298" s="30" t="str">
        <f t="shared" si="263"/>
        <v>2,51769817319711+2,02739592653944i</v>
      </c>
      <c r="BJ298" s="68">
        <f t="shared" si="310"/>
        <v>10.1908047876273</v>
      </c>
      <c r="BK298" s="31">
        <f t="shared" si="264"/>
        <v>38.8430243004277</v>
      </c>
      <c r="BL298" s="32">
        <f t="shared" si="311"/>
        <v>-5.96560900787931</v>
      </c>
      <c r="BM298" s="31">
        <f t="shared" si="312"/>
        <v>4.32899257310442</v>
      </c>
      <c r="BO298">
        <f t="shared" si="313"/>
        <v>0</v>
      </c>
      <c r="BP298">
        <f t="shared" si="314"/>
        <v>0</v>
      </c>
    </row>
    <row r="299" spans="14:68">
      <c r="N299" s="7">
        <v>81</v>
      </c>
      <c r="O299" s="18">
        <f t="shared" si="315"/>
        <v>6456.54229034656</v>
      </c>
      <c r="P299" s="86" t="str">
        <f t="shared" si="265"/>
        <v>15</v>
      </c>
      <c r="Q299" s="4" t="str">
        <f t="shared" si="266"/>
        <v>1+11,8322317323843i</v>
      </c>
      <c r="R299" s="4">
        <f t="shared" si="277"/>
        <v>11.8744139968607</v>
      </c>
      <c r="S299" s="4">
        <f t="shared" si="278"/>
        <v>1.48648178231278</v>
      </c>
      <c r="T299" s="4" t="str">
        <f t="shared" si="267"/>
        <v>1+0,00811353033077784i</v>
      </c>
      <c r="U299" s="4">
        <f t="shared" si="279"/>
        <v>1.00003291414554</v>
      </c>
      <c r="V299" s="4">
        <f t="shared" si="280"/>
        <v>0.00811335230160082</v>
      </c>
      <c r="W299" t="str">
        <f t="shared" si="268"/>
        <v>1-0,709933903943062i</v>
      </c>
      <c r="X299" s="4">
        <f t="shared" si="281"/>
        <v>1.22637928389542</v>
      </c>
      <c r="Y299" s="4">
        <f t="shared" si="282"/>
        <v>-0.617361946455935</v>
      </c>
      <c r="Z299" t="str">
        <f t="shared" si="269"/>
        <v>0,999703559549532+0,0376699622500399i</v>
      </c>
      <c r="AA299" s="4">
        <f t="shared" si="283"/>
        <v>1.00041303121857</v>
      </c>
      <c r="AB299" s="4">
        <f t="shared" si="284"/>
        <v>0.037663313564904</v>
      </c>
      <c r="AC299" s="67" t="str">
        <f t="shared" si="285"/>
        <v>-0,825999258628842-1,30991698959022i</v>
      </c>
      <c r="AD299" s="68">
        <f t="shared" si="286"/>
        <v>3.79877665024219</v>
      </c>
      <c r="AE299" s="31">
        <f t="shared" si="287"/>
        <v>-122.234454478676</v>
      </c>
      <c r="AF299" s="32" t="str">
        <f t="shared" si="288"/>
        <v>75,4669735059805</v>
      </c>
      <c r="AG299" s="32" t="str">
        <f t="shared" si="270"/>
        <v>1+7,60643468510423i</v>
      </c>
      <c r="AH299" s="32">
        <f t="shared" si="289"/>
        <v>7.67188690080587</v>
      </c>
      <c r="AI299" s="32">
        <f t="shared" si="290"/>
        <v>1.44007834757244</v>
      </c>
      <c r="AJ299" s="32" t="str">
        <f t="shared" si="271"/>
        <v>1+0,00811353033077784i</v>
      </c>
      <c r="AK299" s="32">
        <f t="shared" si="291"/>
        <v>1.00003291414554</v>
      </c>
      <c r="AL299" s="32">
        <f t="shared" si="292"/>
        <v>0.00811335230160082</v>
      </c>
      <c r="AM299" s="32" t="str">
        <f t="shared" si="272"/>
        <v>1-0,090712026785628i</v>
      </c>
      <c r="AN299" s="32">
        <f t="shared" si="293"/>
        <v>1.004105906667</v>
      </c>
      <c r="AO299" s="32">
        <f t="shared" si="294"/>
        <v>-0.0904644348866598</v>
      </c>
      <c r="AP299" s="30" t="str">
        <f t="shared" si="295"/>
        <v>0,477559445173138-9,86598327155609i</v>
      </c>
      <c r="AQ299" s="32">
        <f t="shared" si="296"/>
        <v>19.8929711557034</v>
      </c>
      <c r="AR299" s="31">
        <f t="shared" si="297"/>
        <v>-87.2287809545315</v>
      </c>
      <c r="AS299" t="str">
        <f t="shared" si="273"/>
        <v>-0,000338461538461538</v>
      </c>
      <c r="AT299" t="str">
        <f t="shared" si="274"/>
        <v>0,00710152969261991i</v>
      </c>
      <c r="AU299">
        <f t="shared" si="298"/>
        <v>0.00710152969261991</v>
      </c>
      <c r="AV299">
        <f t="shared" si="299"/>
        <v>1.5707963267949</v>
      </c>
      <c r="AW299" t="str">
        <f t="shared" si="275"/>
        <v>1+1,15255197935631i</v>
      </c>
      <c r="AX299">
        <f t="shared" si="300"/>
        <v>1.52590172197234</v>
      </c>
      <c r="AY299">
        <f t="shared" si="301"/>
        <v>0.856150156996867</v>
      </c>
      <c r="AZ299" t="str">
        <f t="shared" si="276"/>
        <v>1+10,0607776101645i</v>
      </c>
      <c r="BA299">
        <f t="shared" si="302"/>
        <v>10.1103534122793</v>
      </c>
      <c r="BB299">
        <f t="shared" si="303"/>
        <v>1.47172583327589</v>
      </c>
      <c r="BC299" s="30" t="str">
        <f t="shared" si="304"/>
        <v>-0,182345688557488+0,257823255083043i</v>
      </c>
      <c r="BD299" s="32">
        <f t="shared" si="305"/>
        <v>-10.0120561870755</v>
      </c>
      <c r="BE299" s="31">
        <f t="shared" si="306"/>
        <v>125.269888221699</v>
      </c>
      <c r="BF299" s="30" t="str">
        <f t="shared" si="307"/>
        <v>0,488344465707382+0,0258958978641122i</v>
      </c>
      <c r="BG299" s="68">
        <f t="shared" si="308"/>
        <v>-6.21327953683328</v>
      </c>
      <c r="BH299" s="31">
        <f t="shared" si="309"/>
        <v>3.03543374302374</v>
      </c>
      <c r="BI299" s="30" t="str">
        <f t="shared" si="263"/>
        <v>2,45659901581021+1,92214544359874i</v>
      </c>
      <c r="BJ299" s="68">
        <f t="shared" si="310"/>
        <v>9.88091496862788</v>
      </c>
      <c r="BK299" s="31">
        <f t="shared" si="264"/>
        <v>38.0411072671679</v>
      </c>
      <c r="BL299" s="32">
        <f t="shared" si="311"/>
        <v>-6.21327953683328</v>
      </c>
      <c r="BM299" s="31">
        <f t="shared" si="312"/>
        <v>3.03543374302374</v>
      </c>
      <c r="BO299">
        <f t="shared" si="313"/>
        <v>0</v>
      </c>
      <c r="BP299">
        <f t="shared" si="314"/>
        <v>0</v>
      </c>
    </row>
    <row r="300" spans="14:68">
      <c r="N300" s="7">
        <v>82</v>
      </c>
      <c r="O300" s="18">
        <f t="shared" si="315"/>
        <v>6606.93448007597</v>
      </c>
      <c r="P300" s="86" t="str">
        <f t="shared" si="265"/>
        <v>15</v>
      </c>
      <c r="Q300" s="4" t="str">
        <f t="shared" si="266"/>
        <v>1+12,1078398147908i</v>
      </c>
      <c r="R300" s="4">
        <f t="shared" si="277"/>
        <v>12.1490651895787</v>
      </c>
      <c r="S300" s="4">
        <f t="shared" si="278"/>
        <v>1.48839223886263</v>
      </c>
      <c r="T300" s="4" t="str">
        <f t="shared" si="267"/>
        <v>1+0,0083025187301423i</v>
      </c>
      <c r="U300" s="4">
        <f t="shared" si="279"/>
        <v>1.0000344653147</v>
      </c>
      <c r="V300" s="4">
        <f t="shared" si="280"/>
        <v>0.00830232796879731</v>
      </c>
      <c r="W300" t="str">
        <f t="shared" si="268"/>
        <v>1-0,726470388887452i</v>
      </c>
      <c r="X300" s="4">
        <f t="shared" si="281"/>
        <v>1.23602557656801</v>
      </c>
      <c r="Y300" s="4">
        <f t="shared" si="282"/>
        <v>-0.628271313432592</v>
      </c>
      <c r="Z300" t="str">
        <f t="shared" si="269"/>
        <v>0,999689588741518+0,0385474083899463i</v>
      </c>
      <c r="AA300" s="4">
        <f t="shared" si="283"/>
        <v>1.00043249474003</v>
      </c>
      <c r="AB300" s="4">
        <f t="shared" si="284"/>
        <v>0.0385402843283946</v>
      </c>
      <c r="AC300" s="67" t="str">
        <f t="shared" si="285"/>
        <v>-0,831016741705625-1,27924315580865i</v>
      </c>
      <c r="AD300" s="68">
        <f t="shared" si="286"/>
        <v>3.66806065067564</v>
      </c>
      <c r="AE300" s="31">
        <f t="shared" si="287"/>
        <v>-123.00839547619</v>
      </c>
      <c r="AF300" s="32" t="str">
        <f t="shared" si="288"/>
        <v>75,4669735059805</v>
      </c>
      <c r="AG300" s="32" t="str">
        <f t="shared" si="270"/>
        <v>1+7,78361130950841i</v>
      </c>
      <c r="AH300" s="32">
        <f t="shared" si="289"/>
        <v>7.84758593565609</v>
      </c>
      <c r="AI300" s="32">
        <f t="shared" si="290"/>
        <v>1.44302120198914</v>
      </c>
      <c r="AJ300" s="32" t="str">
        <f t="shared" si="271"/>
        <v>1+0,0083025187301423i</v>
      </c>
      <c r="AK300" s="32">
        <f t="shared" si="291"/>
        <v>1.0000344653147</v>
      </c>
      <c r="AL300" s="32">
        <f t="shared" si="292"/>
        <v>0.00830232796879731</v>
      </c>
      <c r="AM300" s="32" t="str">
        <f t="shared" si="272"/>
        <v>1-0,092824981325317i</v>
      </c>
      <c r="AN300" s="32">
        <f t="shared" si="293"/>
        <v>1.0042989978876</v>
      </c>
      <c r="AO300" s="32">
        <f t="shared" si="294"/>
        <v>-0.0925597431218295</v>
      </c>
      <c r="AP300" s="30" t="str">
        <f t="shared" si="295"/>
        <v>0,420172664777801-9,64911515084106i</v>
      </c>
      <c r="AQ300" s="32">
        <f t="shared" si="296"/>
        <v>19.6979770118518</v>
      </c>
      <c r="AR300" s="31">
        <f t="shared" si="297"/>
        <v>-87.506618902823</v>
      </c>
      <c r="AS300" t="str">
        <f t="shared" si="273"/>
        <v>-0,000338461538461538</v>
      </c>
      <c r="AT300" t="str">
        <f t="shared" si="274"/>
        <v>0,00726694556893165i</v>
      </c>
      <c r="AU300">
        <f t="shared" si="298"/>
        <v>0.00726694556893165</v>
      </c>
      <c r="AV300">
        <f t="shared" si="299"/>
        <v>1.5707963267949</v>
      </c>
      <c r="AW300" t="str">
        <f t="shared" si="275"/>
        <v>1+1,17939836371462i</v>
      </c>
      <c r="AX300">
        <f t="shared" si="300"/>
        <v>1.54627956732692</v>
      </c>
      <c r="AY300">
        <f t="shared" si="301"/>
        <v>0.867528541214621</v>
      </c>
      <c r="AZ300" t="str">
        <f t="shared" si="276"/>
        <v>1+10,2951232253764i</v>
      </c>
      <c r="BA300">
        <f t="shared" si="302"/>
        <v>10.3435758916191</v>
      </c>
      <c r="BB300">
        <f t="shared" si="303"/>
        <v>1.47396672128818</v>
      </c>
      <c r="BC300" s="30" t="str">
        <f t="shared" si="304"/>
        <v>-0,177571225175471+0,256002700733882i</v>
      </c>
      <c r="BD300" s="32">
        <f t="shared" si="305"/>
        <v>-10.1291978986177</v>
      </c>
      <c r="BE300" s="31">
        <f t="shared" si="306"/>
        <v>124.74634825381</v>
      </c>
      <c r="BF300" s="30" t="str">
        <f t="shared" si="307"/>
        <v>0,475054363748344+0,0144142442425671i</v>
      </c>
      <c r="BG300" s="68">
        <f t="shared" si="308"/>
        <v>-6.46113724794209</v>
      </c>
      <c r="BH300" s="31">
        <f t="shared" si="309"/>
        <v>1.73795277761957</v>
      </c>
      <c r="BI300" s="30" t="str">
        <f t="shared" si="263"/>
        <v>2,39558896343769+1,82097053615172i</v>
      </c>
      <c r="BJ300" s="68">
        <f t="shared" si="310"/>
        <v>9.56877911323411</v>
      </c>
      <c r="BK300" s="31">
        <f t="shared" si="264"/>
        <v>37.2397293509868</v>
      </c>
      <c r="BL300" s="32">
        <f t="shared" si="311"/>
        <v>-6.46113724794209</v>
      </c>
      <c r="BM300" s="31">
        <f t="shared" si="312"/>
        <v>1.73795277761957</v>
      </c>
      <c r="BO300">
        <f t="shared" si="313"/>
        <v>0</v>
      </c>
      <c r="BP300">
        <f t="shared" si="314"/>
        <v>0</v>
      </c>
    </row>
    <row r="301" spans="14:68">
      <c r="N301" s="7">
        <v>83</v>
      </c>
      <c r="O301" s="18">
        <f t="shared" si="315"/>
        <v>6760.82975391982</v>
      </c>
      <c r="P301" s="86" t="str">
        <f t="shared" si="265"/>
        <v>15</v>
      </c>
      <c r="Q301" s="4" t="str">
        <f t="shared" si="266"/>
        <v>1+12,3898676341334i</v>
      </c>
      <c r="R301" s="4">
        <f t="shared" si="277"/>
        <v>12.4301576816767</v>
      </c>
      <c r="S301" s="4">
        <f t="shared" si="278"/>
        <v>1.49025979085601</v>
      </c>
      <c r="T301" s="4" t="str">
        <f t="shared" si="267"/>
        <v>1+0,00849590923483432i</v>
      </c>
      <c r="U301" s="4">
        <f t="shared" si="279"/>
        <v>1.00003608958563</v>
      </c>
      <c r="V301" s="4">
        <f t="shared" si="280"/>
        <v>0.00849570483076887</v>
      </c>
      <c r="W301" t="str">
        <f t="shared" si="268"/>
        <v>1-0,743392058048004i</v>
      </c>
      <c r="X301" s="4">
        <f t="shared" si="281"/>
        <v>1.24604644855994</v>
      </c>
      <c r="Y301" s="4">
        <f t="shared" si="282"/>
        <v>-0.639258594859833</v>
      </c>
      <c r="Z301" t="str">
        <f t="shared" si="269"/>
        <v>0,999674959509607+0,0394452928760164i</v>
      </c>
      <c r="AA301" s="4">
        <f t="shared" si="283"/>
        <v>1.00045287535226</v>
      </c>
      <c r="AB301" s="4">
        <f t="shared" si="284"/>
        <v>0.0394376594556703</v>
      </c>
      <c r="AC301" s="67" t="str">
        <f t="shared" si="285"/>
        <v>-0,835808100416753-1,24921035069848i</v>
      </c>
      <c r="AD301" s="68">
        <f t="shared" si="286"/>
        <v>3.53935778733417</v>
      </c>
      <c r="AE301" s="31">
        <f t="shared" si="287"/>
        <v>-123.785259306922</v>
      </c>
      <c r="AF301" s="32" t="str">
        <f t="shared" si="288"/>
        <v>75,4669735059805</v>
      </c>
      <c r="AG301" s="32" t="str">
        <f t="shared" si="270"/>
        <v>1+7,96491490765718i</v>
      </c>
      <c r="AH301" s="32">
        <f t="shared" si="289"/>
        <v>8.02744476693671</v>
      </c>
      <c r="AI301" s="32">
        <f t="shared" si="290"/>
        <v>1.44589922072245</v>
      </c>
      <c r="AJ301" s="32" t="str">
        <f t="shared" si="271"/>
        <v>1+0,00849590923483432i</v>
      </c>
      <c r="AK301" s="32">
        <f t="shared" si="291"/>
        <v>1.00003608958563</v>
      </c>
      <c r="AL301" s="32">
        <f t="shared" si="292"/>
        <v>0.00849570483076887</v>
      </c>
      <c r="AM301" s="32" t="str">
        <f t="shared" si="272"/>
        <v>1-0,0949871528987888i</v>
      </c>
      <c r="AN301" s="32">
        <f t="shared" si="293"/>
        <v>1.00450114943479</v>
      </c>
      <c r="AO301" s="32">
        <f t="shared" si="294"/>
        <v>-0.0947030137799083</v>
      </c>
      <c r="AP301" s="30" t="str">
        <f t="shared" si="295"/>
        <v>0,36528666349148-9,4367095856986i</v>
      </c>
      <c r="AQ301" s="32">
        <f t="shared" si="296"/>
        <v>19.502914375603</v>
      </c>
      <c r="AR301" s="31">
        <f t="shared" si="297"/>
        <v>-87.7832379146173</v>
      </c>
      <c r="AS301" t="str">
        <f t="shared" si="273"/>
        <v>-0,000338461538461538</v>
      </c>
      <c r="AT301" t="str">
        <f t="shared" si="274"/>
        <v>0,00743621447597344i</v>
      </c>
      <c r="AU301">
        <f t="shared" si="298"/>
        <v>0.00743621447597344</v>
      </c>
      <c r="AV301">
        <f t="shared" si="299"/>
        <v>1.5707963267949</v>
      </c>
      <c r="AW301" t="str">
        <f t="shared" si="275"/>
        <v>1+1,20687008069656i</v>
      </c>
      <c r="AX301">
        <f t="shared" si="300"/>
        <v>1.5673338481895</v>
      </c>
      <c r="AY301">
        <f t="shared" si="301"/>
        <v>0.878864168939526</v>
      </c>
      <c r="AZ301" t="str">
        <f t="shared" si="276"/>
        <v>1+10,5349274511946i</v>
      </c>
      <c r="BA301">
        <f t="shared" si="302"/>
        <v>10.5822821925109</v>
      </c>
      <c r="BB301">
        <f t="shared" si="303"/>
        <v>1.47615754350119</v>
      </c>
      <c r="BC301" s="30" t="str">
        <f t="shared" si="304"/>
        <v>-0,172832574793192+0,254101764257301i</v>
      </c>
      <c r="BD301" s="32">
        <f t="shared" si="305"/>
        <v>-10.2484951465162</v>
      </c>
      <c r="BE301" s="31">
        <f t="shared" si="306"/>
        <v>124.22238949351</v>
      </c>
      <c r="BF301" s="30" t="str">
        <f t="shared" si="307"/>
        <v>0,461881420069+0,0035239284730843i</v>
      </c>
      <c r="BG301" s="68">
        <f t="shared" si="308"/>
        <v>-6.70913735918207</v>
      </c>
      <c r="BH301" s="31">
        <f t="shared" si="309"/>
        <v>0.437130186588435</v>
      </c>
      <c r="BI301" s="30" t="str">
        <f t="shared" si="263"/>
        <v>2,33475111992095+1,72379080092473i</v>
      </c>
      <c r="BJ301" s="68">
        <f t="shared" si="310"/>
        <v>9.25441922908677</v>
      </c>
      <c r="BK301" s="31">
        <f t="shared" si="264"/>
        <v>36.4391515788929</v>
      </c>
      <c r="BL301" s="32">
        <f t="shared" si="311"/>
        <v>-6.70913735918207</v>
      </c>
      <c r="BM301" s="31">
        <f t="shared" si="312"/>
        <v>0.437130186588435</v>
      </c>
      <c r="BO301">
        <f t="shared" si="313"/>
        <v>0</v>
      </c>
      <c r="BP301">
        <f t="shared" si="314"/>
        <v>0</v>
      </c>
    </row>
    <row r="302" spans="14:68">
      <c r="N302" s="7">
        <v>84</v>
      </c>
      <c r="O302" s="18">
        <f t="shared" si="315"/>
        <v>6918.30970918937</v>
      </c>
      <c r="P302" s="86" t="str">
        <f t="shared" si="265"/>
        <v>15</v>
      </c>
      <c r="Q302" s="4" t="str">
        <f t="shared" si="266"/>
        <v>1+12,6784647252948i</v>
      </c>
      <c r="R302" s="4">
        <f t="shared" si="277"/>
        <v>12.7178405317312</v>
      </c>
      <c r="S302" s="4">
        <f t="shared" si="278"/>
        <v>1.49208537635622</v>
      </c>
      <c r="T302" s="4" t="str">
        <f t="shared" si="267"/>
        <v>1+0,0086938043830593i</v>
      </c>
      <c r="U302" s="4">
        <f t="shared" si="279"/>
        <v>1.00003779040327</v>
      </c>
      <c r="V302" s="4">
        <f t="shared" si="280"/>
        <v>0.00869358536060411</v>
      </c>
      <c r="W302" t="str">
        <f t="shared" si="268"/>
        <v>1-0,760707883517689i</v>
      </c>
      <c r="X302" s="4">
        <f t="shared" si="281"/>
        <v>1.25645393232142</v>
      </c>
      <c r="Y302" s="4">
        <f t="shared" si="282"/>
        <v>-0.650319005542044</v>
      </c>
      <c r="Z302" t="str">
        <f t="shared" si="269"/>
        <v>0,999659640823237+0,0403640917784895i</v>
      </c>
      <c r="AA302" s="4">
        <f t="shared" si="283"/>
        <v>1.00047421625744</v>
      </c>
      <c r="AB302" s="4">
        <f t="shared" si="284"/>
        <v>0.0403559125885511</v>
      </c>
      <c r="AC302" s="67" t="str">
        <f t="shared" si="285"/>
        <v>-0,840383093590107-1,21980511727384i</v>
      </c>
      <c r="AD302" s="68">
        <f t="shared" si="286"/>
        <v>3.41269930036135</v>
      </c>
      <c r="AE302" s="31">
        <f t="shared" si="287"/>
        <v>-124.564846812828</v>
      </c>
      <c r="AF302" s="32" t="str">
        <f t="shared" si="288"/>
        <v>75,4669735059805</v>
      </c>
      <c r="AG302" s="32" t="str">
        <f t="shared" si="270"/>
        <v>1+8,1504416091181i</v>
      </c>
      <c r="AH302" s="32">
        <f t="shared" si="289"/>
        <v>8.21155883031009</v>
      </c>
      <c r="AI302" s="32">
        <f t="shared" si="290"/>
        <v>1.44871373892551</v>
      </c>
      <c r="AJ302" s="32" t="str">
        <f t="shared" si="271"/>
        <v>1+0,0086938043830593i</v>
      </c>
      <c r="AK302" s="32">
        <f t="shared" si="291"/>
        <v>1.00003779040327</v>
      </c>
      <c r="AL302" s="32">
        <f t="shared" si="292"/>
        <v>0.00869358536060411</v>
      </c>
      <c r="AM302" s="32" t="str">
        <f t="shared" si="272"/>
        <v>1-0,0971996879180311i</v>
      </c>
      <c r="AN302" s="32">
        <f t="shared" si="293"/>
        <v>1.00471278449682</v>
      </c>
      <c r="AO302" s="32">
        <f t="shared" si="294"/>
        <v>-0.0968953044451484</v>
      </c>
      <c r="AP302" s="30" t="str">
        <f t="shared" si="295"/>
        <v>0,312795942936534-9,22869623633037i</v>
      </c>
      <c r="AQ302" s="32">
        <f t="shared" si="296"/>
        <v>19.3077933053854</v>
      </c>
      <c r="AR302" s="31">
        <f t="shared" si="297"/>
        <v>-88.058769212392</v>
      </c>
      <c r="AS302" t="str">
        <f t="shared" si="273"/>
        <v>-0,000338461538461538</v>
      </c>
      <c r="AT302" t="str">
        <f t="shared" si="274"/>
        <v>0,00760942616236032i</v>
      </c>
      <c r="AU302">
        <f t="shared" si="298"/>
        <v>0.00760942616236032</v>
      </c>
      <c r="AV302">
        <f t="shared" si="299"/>
        <v>1.5707963267949</v>
      </c>
      <c r="AW302" t="str">
        <f t="shared" si="275"/>
        <v>1+1,2349816961701i</v>
      </c>
      <c r="AX302">
        <f t="shared" si="300"/>
        <v>1.58908142959232</v>
      </c>
      <c r="AY302">
        <f t="shared" si="301"/>
        <v>0.890151398561118</v>
      </c>
      <c r="AZ302" t="str">
        <f t="shared" si="276"/>
        <v>1+10,7803174349935i</v>
      </c>
      <c r="BA302">
        <f t="shared" si="302"/>
        <v>10.8265989119033</v>
      </c>
      <c r="BB302">
        <f t="shared" si="303"/>
        <v>1.47829937734919</v>
      </c>
      <c r="BC302" s="30" t="str">
        <f t="shared" si="304"/>
        <v>-0,168134300186099+0,252122029263299i</v>
      </c>
      <c r="BD302" s="32">
        <f t="shared" si="305"/>
        <v>-10.3699337501032</v>
      </c>
      <c r="BE302" s="31">
        <f t="shared" si="306"/>
        <v>123.698396913707</v>
      </c>
      <c r="BF302" s="30" t="str">
        <f t="shared" si="307"/>
        <v>0,448836964801839-0,00678801115824718i</v>
      </c>
      <c r="BG302" s="68">
        <f t="shared" si="308"/>
        <v>-6.95723444974185</v>
      </c>
      <c r="BH302" s="31">
        <f t="shared" si="309"/>
        <v>-0.866449899121073</v>
      </c>
      <c r="BI302" s="30" t="str">
        <f t="shared" si="263"/>
        <v>2,2741658955915+1,63052313120398i</v>
      </c>
      <c r="BJ302" s="68">
        <f t="shared" si="310"/>
        <v>8.9378595552822</v>
      </c>
      <c r="BK302" s="31">
        <f t="shared" si="264"/>
        <v>35.6396277013147</v>
      </c>
      <c r="BL302" s="32">
        <f t="shared" si="311"/>
        <v>-6.95723444974185</v>
      </c>
      <c r="BM302" s="31">
        <f t="shared" si="312"/>
        <v>-0.866449899121073</v>
      </c>
      <c r="BO302">
        <f t="shared" si="313"/>
        <v>0</v>
      </c>
      <c r="BP302">
        <f t="shared" si="314"/>
        <v>0</v>
      </c>
    </row>
    <row r="303" spans="14:68">
      <c r="N303" s="7">
        <v>85</v>
      </c>
      <c r="O303" s="18">
        <f t="shared" si="315"/>
        <v>7079.45784384138</v>
      </c>
      <c r="P303" s="86" t="str">
        <f t="shared" si="265"/>
        <v>15</v>
      </c>
      <c r="Q303" s="4" t="str">
        <f t="shared" si="266"/>
        <v>1+12,9737841062729i</v>
      </c>
      <c r="R303" s="4">
        <f t="shared" si="277"/>
        <v>13.0122662913183</v>
      </c>
      <c r="S303" s="4">
        <f t="shared" si="278"/>
        <v>1.49386991461178</v>
      </c>
      <c r="T303" s="4" t="str">
        <f t="shared" si="267"/>
        <v>1+0,00889630910144428i</v>
      </c>
      <c r="U303" s="4">
        <f t="shared" si="279"/>
        <v>1.00003957137487</v>
      </c>
      <c r="V303" s="4">
        <f t="shared" si="280"/>
        <v>0.00889607441515681</v>
      </c>
      <c r="W303" t="str">
        <f t="shared" si="268"/>
        <v>1-0,778427046376375i</v>
      </c>
      <c r="X303" s="4">
        <f t="shared" si="281"/>
        <v>1.26726029943743</v>
      </c>
      <c r="Y303" s="4">
        <f t="shared" si="282"/>
        <v>-0.661447585861283</v>
      </c>
      <c r="Z303" t="str">
        <f t="shared" si="269"/>
        <v>0,999643600189421+0,0413042922567055i</v>
      </c>
      <c r="AA303" s="4">
        <f t="shared" si="283"/>
        <v>1.00049656269199</v>
      </c>
      <c r="AB303" s="4">
        <f t="shared" si="284"/>
        <v>0.0412955282845199</v>
      </c>
      <c r="AC303" s="67" t="str">
        <f t="shared" si="285"/>
        <v>-0,844751056313214-1,19101417100547i</v>
      </c>
      <c r="AD303" s="68">
        <f t="shared" si="286"/>
        <v>3.2881146123218</v>
      </c>
      <c r="AE303" s="31">
        <f t="shared" si="287"/>
        <v>-125.346948253036</v>
      </c>
      <c r="AF303" s="32" t="str">
        <f t="shared" si="288"/>
        <v>75,4669735059805</v>
      </c>
      <c r="AG303" s="32" t="str">
        <f t="shared" si="270"/>
        <v>1+8,34028978260402i</v>
      </c>
      <c r="AH303" s="32">
        <f t="shared" si="289"/>
        <v>8.40002581292516</v>
      </c>
      <c r="AI303" s="32">
        <f t="shared" si="290"/>
        <v>1.45146607043578</v>
      </c>
      <c r="AJ303" s="32" t="str">
        <f t="shared" si="271"/>
        <v>1+0,00889630910144428i</v>
      </c>
      <c r="AK303" s="32">
        <f t="shared" si="291"/>
        <v>1.00003957137487</v>
      </c>
      <c r="AL303" s="32">
        <f t="shared" si="292"/>
        <v>0.00889607441515681</v>
      </c>
      <c r="AM303" s="32" t="str">
        <f t="shared" si="272"/>
        <v>1-0,0994637594983974i</v>
      </c>
      <c r="AN303" s="32">
        <f t="shared" si="293"/>
        <v>1.00493434584233</v>
      </c>
      <c r="AO303" s="32">
        <f t="shared" si="294"/>
        <v>-0.0991376931610626</v>
      </c>
      <c r="AP303" s="30" t="str">
        <f t="shared" si="295"/>
        <v>0,262599152966641-9,02500441201921i</v>
      </c>
      <c r="AQ303" s="32">
        <f t="shared" si="296"/>
        <v>19.1126237538572</v>
      </c>
      <c r="AR303" s="31">
        <f t="shared" si="297"/>
        <v>-88.3333438329776</v>
      </c>
      <c r="AS303" t="str">
        <f t="shared" si="273"/>
        <v>-0,000338461538461538</v>
      </c>
      <c r="AT303" t="str">
        <f t="shared" si="274"/>
        <v>0,00778667246722114i</v>
      </c>
      <c r="AU303">
        <f t="shared" si="298"/>
        <v>0.00778667246722114</v>
      </c>
      <c r="AV303">
        <f t="shared" si="299"/>
        <v>1.5707963267949</v>
      </c>
      <c r="AW303" t="str">
        <f t="shared" si="275"/>
        <v>1+1,26374811528586i</v>
      </c>
      <c r="AX303">
        <f t="shared" si="300"/>
        <v>1.61153941896826</v>
      </c>
      <c r="AY303">
        <f t="shared" si="301"/>
        <v>0.901384711353836</v>
      </c>
      <c r="AZ303" t="str">
        <f t="shared" si="276"/>
        <v>1+11,0314232857909i</v>
      </c>
      <c r="BA303">
        <f t="shared" si="302"/>
        <v>11.0766556193776</v>
      </c>
      <c r="BB303">
        <f t="shared" si="303"/>
        <v>1.48039327981301</v>
      </c>
      <c r="BC303" s="30" t="str">
        <f t="shared" si="304"/>
        <v>-0,16348080191948+0,250065330096712i</v>
      </c>
      <c r="BD303" s="32">
        <f t="shared" si="305"/>
        <v>-10.493497253192</v>
      </c>
      <c r="BE303" s="31">
        <f t="shared" si="306"/>
        <v>123.174747274622</v>
      </c>
      <c r="BF303" s="30" t="str">
        <f t="shared" si="307"/>
        <v>0,435931931930757-0,0165349999730711i</v>
      </c>
      <c r="BG303" s="68">
        <f t="shared" si="308"/>
        <v>-7.20538264087023</v>
      </c>
      <c r="BH303" s="31">
        <f t="shared" si="309"/>
        <v>-2.17220097841337</v>
      </c>
      <c r="BI303" s="30" t="str">
        <f t="shared" si="263"/>
        <v>2,2139107873055+1,54108190247347i</v>
      </c>
      <c r="BJ303" s="68">
        <f t="shared" si="310"/>
        <v>8.61912650066512</v>
      </c>
      <c r="BK303" s="31">
        <f t="shared" si="264"/>
        <v>34.8414034416448</v>
      </c>
      <c r="BL303" s="32">
        <f t="shared" si="311"/>
        <v>-7.20538264087023</v>
      </c>
      <c r="BM303" s="31">
        <f t="shared" si="312"/>
        <v>-2.17220097841337</v>
      </c>
      <c r="BO303">
        <f t="shared" si="313"/>
        <v>0</v>
      </c>
      <c r="BP303">
        <f t="shared" si="314"/>
        <v>0</v>
      </c>
    </row>
    <row r="304" spans="14:68">
      <c r="N304" s="7">
        <v>86</v>
      </c>
      <c r="O304" s="18">
        <f t="shared" si="315"/>
        <v>7244.3596007499</v>
      </c>
      <c r="P304" s="86" t="str">
        <f t="shared" si="265"/>
        <v>15</v>
      </c>
      <c r="Q304" s="4" t="str">
        <f t="shared" si="266"/>
        <v>1+13,2759823593125i</v>
      </c>
      <c r="R304" s="4">
        <f t="shared" si="277"/>
        <v>13.3135910859834</v>
      </c>
      <c r="S304" s="4">
        <f t="shared" si="278"/>
        <v>1.49561430631909</v>
      </c>
      <c r="T304" s="4" t="str">
        <f t="shared" si="267"/>
        <v>1+0,00910353076067144i</v>
      </c>
      <c r="U304" s="4">
        <f t="shared" si="279"/>
        <v>1.00004143627767</v>
      </c>
      <c r="V304" s="4">
        <f t="shared" si="280"/>
        <v>0.00910327929034649</v>
      </c>
      <c r="W304" t="str">
        <f t="shared" si="268"/>
        <v>1-0,796558941558752i</v>
      </c>
      <c r="X304" s="4">
        <f t="shared" si="281"/>
        <v>1.27847805901282</v>
      </c>
      <c r="Y304" s="4">
        <f t="shared" si="282"/>
        <v>-0.672639211053813</v>
      </c>
      <c r="Z304" t="str">
        <f t="shared" si="269"/>
        <v>0,999626803583822+0,042266392817403i</v>
      </c>
      <c r="AA304" s="4">
        <f t="shared" si="283"/>
        <v>1.00051996202225</v>
      </c>
      <c r="AB304" s="4">
        <f t="shared" si="284"/>
        <v>0.0422570022626459</v>
      </c>
      <c r="AC304" s="67" t="str">
        <f t="shared" si="285"/>
        <v>-0,848920916699834-1,16282440317274i</v>
      </c>
      <c r="AD304" s="68">
        <f t="shared" si="286"/>
        <v>3.16563123086596</v>
      </c>
      <c r="AE304" s="31">
        <f t="shared" si="287"/>
        <v>-126.131343861321</v>
      </c>
      <c r="AF304" s="32" t="str">
        <f t="shared" si="288"/>
        <v>75,4669735059805</v>
      </c>
      <c r="AG304" s="32" t="str">
        <f t="shared" si="270"/>
        <v>1+8,53456008812948i</v>
      </c>
      <c r="AH304" s="32">
        <f t="shared" si="289"/>
        <v>8.5929457055129</v>
      </c>
      <c r="AI304" s="32">
        <f t="shared" si="290"/>
        <v>1.45415750768783</v>
      </c>
      <c r="AJ304" s="32" t="str">
        <f t="shared" si="271"/>
        <v>1+0,00910353076067144i</v>
      </c>
      <c r="AK304" s="32">
        <f t="shared" si="291"/>
        <v>1.00004143627767</v>
      </c>
      <c r="AL304" s="32">
        <f t="shared" si="292"/>
        <v>0.00910327929034649</v>
      </c>
      <c r="AM304" s="32" t="str">
        <f t="shared" si="272"/>
        <v>1-0,101780568080609i</v>
      </c>
      <c r="AN304" s="32">
        <f t="shared" si="293"/>
        <v>1.00516629670857</v>
      </c>
      <c r="AO304" s="32">
        <f t="shared" si="294"/>
        <v>-0.101431278618924</v>
      </c>
      <c r="AP304" s="30" t="str">
        <f t="shared" si="295"/>
        <v>0,214598955140401-8,82556319753205i</v>
      </c>
      <c r="AQ304" s="32">
        <f t="shared" si="296"/>
        <v>18.9174155858046</v>
      </c>
      <c r="AR304" s="31">
        <f t="shared" si="297"/>
        <v>-88.6070926301896</v>
      </c>
      <c r="AS304" t="str">
        <f t="shared" si="273"/>
        <v>-0,000338461538461538</v>
      </c>
      <c r="AT304" t="str">
        <f t="shared" si="274"/>
        <v>0,00796804736889289i</v>
      </c>
      <c r="AU304">
        <f t="shared" si="298"/>
        <v>0.00796804736889289</v>
      </c>
      <c r="AV304">
        <f t="shared" si="299"/>
        <v>1.5707963267949</v>
      </c>
      <c r="AW304" t="str">
        <f t="shared" si="275"/>
        <v>1+1,29318459038003i</v>
      </c>
      <c r="AX304">
        <f t="shared" si="300"/>
        <v>1.63472517102918</v>
      </c>
      <c r="AY304">
        <f t="shared" si="301"/>
        <v>0.91255872399749</v>
      </c>
      <c r="AZ304" t="str">
        <f t="shared" si="276"/>
        <v>1+11,2883781432326i</v>
      </c>
      <c r="BA304">
        <f t="shared" si="302"/>
        <v>11.3325849259828</v>
      </c>
      <c r="BB304">
        <f t="shared" si="303"/>
        <v>1.48244028762234</v>
      </c>
      <c r="BC304" s="30" t="str">
        <f t="shared" si="304"/>
        <v>-0,158876303145545+0,247933737199707i</v>
      </c>
      <c r="BD304" s="32">
        <f t="shared" si="305"/>
        <v>-10.6191670109806</v>
      </c>
      <c r="BE304" s="31">
        <f t="shared" si="306"/>
        <v>122.65180841802</v>
      </c>
      <c r="BF304" s="30" t="str">
        <f t="shared" si="307"/>
        <v>0,423176816893833-0,0257308930808814i</v>
      </c>
      <c r="BG304" s="68">
        <f t="shared" si="308"/>
        <v>-7.45353578011467</v>
      </c>
      <c r="BH304" s="31">
        <f t="shared" si="309"/>
        <v>-3.47953544330123</v>
      </c>
      <c r="BI304" s="30" t="str">
        <f t="shared" si="263"/>
        <v>2,15406017780471+1,45537917494838i</v>
      </c>
      <c r="BJ304" s="68">
        <f t="shared" si="310"/>
        <v>8.29824857482394</v>
      </c>
      <c r="BK304" s="31">
        <f t="shared" si="264"/>
        <v>34.0447157878307</v>
      </c>
      <c r="BL304" s="32">
        <f t="shared" si="311"/>
        <v>-7.45353578011467</v>
      </c>
      <c r="BM304" s="31">
        <f t="shared" si="312"/>
        <v>-3.47953544330123</v>
      </c>
      <c r="BO304">
        <f t="shared" si="313"/>
        <v>0</v>
      </c>
      <c r="BP304">
        <f t="shared" si="314"/>
        <v>0</v>
      </c>
    </row>
    <row r="305" spans="14:68">
      <c r="N305" s="7">
        <v>87</v>
      </c>
      <c r="O305" s="18">
        <f t="shared" si="315"/>
        <v>7413.10241300918</v>
      </c>
      <c r="P305" s="86" t="str">
        <f t="shared" si="265"/>
        <v>15</v>
      </c>
      <c r="Q305" s="4" t="str">
        <f t="shared" si="266"/>
        <v>1+13,5852197139274i</v>
      </c>
      <c r="R305" s="4">
        <f t="shared" si="277"/>
        <v>13.6219746981002</v>
      </c>
      <c r="S305" s="4">
        <f t="shared" si="278"/>
        <v>1.49731943388987</v>
      </c>
      <c r="T305" s="4" t="str">
        <f t="shared" si="267"/>
        <v>1+0,00931557923240736i</v>
      </c>
      <c r="U305" s="4">
        <f t="shared" si="279"/>
        <v>1.00004338906691</v>
      </c>
      <c r="V305" s="4">
        <f t="shared" si="280"/>
        <v>0.00931530977773089</v>
      </c>
      <c r="W305" t="str">
        <f t="shared" si="268"/>
        <v>1-0,815113182835645i</v>
      </c>
      <c r="X305" s="4">
        <f t="shared" si="281"/>
        <v>1.29011995598567</v>
      </c>
      <c r="Y305" s="4">
        <f t="shared" si="282"/>
        <v>-0.683888601419382</v>
      </c>
      <c r="Z305" t="str">
        <f t="shared" si="269"/>
        <v>0,99960921537859+0,0432509035790341i</v>
      </c>
      <c r="AA305" s="4">
        <f t="shared" si="283"/>
        <v>1.00054446384466</v>
      </c>
      <c r="AB305" s="4">
        <f t="shared" si="284"/>
        <v>0.0432408416546424</v>
      </c>
      <c r="AC305" s="67" t="str">
        <f t="shared" si="285"/>
        <v>-0,852901212053883-1,13522288365899i</v>
      </c>
      <c r="AD305" s="68">
        <f t="shared" si="286"/>
        <v>3.04527465599311</v>
      </c>
      <c r="AE305" s="31">
        <f t="shared" si="287"/>
        <v>-126.917804457526</v>
      </c>
      <c r="AF305" s="32" t="str">
        <f t="shared" si="288"/>
        <v>75,4669735059805</v>
      </c>
      <c r="AG305" s="32" t="str">
        <f t="shared" si="270"/>
        <v>1+8,73335553038191i</v>
      </c>
      <c r="AH305" s="32">
        <f t="shared" si="289"/>
        <v>8.79042085568446</v>
      </c>
      <c r="AI305" s="32">
        <f t="shared" si="290"/>
        <v>1.45678932166276</v>
      </c>
      <c r="AJ305" s="32" t="str">
        <f t="shared" si="271"/>
        <v>1+0,00931557923240736i</v>
      </c>
      <c r="AK305" s="32">
        <f t="shared" si="291"/>
        <v>1.00004338906691</v>
      </c>
      <c r="AL305" s="32">
        <f t="shared" si="292"/>
        <v>0.00931530977773089</v>
      </c>
      <c r="AM305" s="32" t="str">
        <f t="shared" si="272"/>
        <v>1-0,104151342067241i</v>
      </c>
      <c r="AN305" s="32">
        <f t="shared" si="293"/>
        <v>1.00540912172827</v>
      </c>
      <c r="AO305" s="32">
        <f t="shared" si="294"/>
        <v>-0.10377718033131</v>
      </c>
      <c r="AP305" s="30" t="str">
        <f t="shared" si="295"/>
        <v>0,168701888251323-8,6303015700214i</v>
      </c>
      <c r="AQ305" s="32">
        <f t="shared" si="296"/>
        <v>18.7221785959692</v>
      </c>
      <c r="AR305" s="31">
        <f t="shared" si="297"/>
        <v>-88.8801462786337</v>
      </c>
      <c r="AS305" t="str">
        <f t="shared" si="273"/>
        <v>-0,000338461538461538</v>
      </c>
      <c r="AT305" t="str">
        <f t="shared" si="274"/>
        <v>0,00815364703474919i</v>
      </c>
      <c r="AU305">
        <f t="shared" si="298"/>
        <v>0.00815364703474919</v>
      </c>
      <c r="AV305">
        <f t="shared" si="299"/>
        <v>1.5707963267949</v>
      </c>
      <c r="AW305" t="str">
        <f t="shared" si="275"/>
        <v>1+1,32330672906134i</v>
      </c>
      <c r="AX305">
        <f t="shared" si="300"/>
        <v>1.65865629326242</v>
      </c>
      <c r="AY305">
        <f t="shared" si="301"/>
        <v>0.9236682002898</v>
      </c>
      <c r="AZ305" t="str">
        <f t="shared" si="276"/>
        <v>1+11,5513182481851i</v>
      </c>
      <c r="BA305">
        <f t="shared" si="302"/>
        <v>11.5945225546744</v>
      </c>
      <c r="BB305">
        <f t="shared" si="303"/>
        <v>1.48444141747021</v>
      </c>
      <c r="BC305" s="30" t="str">
        <f t="shared" si="304"/>
        <v>-0,154324835854976+0,245729541406638i</v>
      </c>
      <c r="BD305" s="32">
        <f t="shared" si="305"/>
        <v>-10.7469222835114</v>
      </c>
      <c r="BE305" s="31">
        <f t="shared" si="306"/>
        <v>122.129938608411</v>
      </c>
      <c r="BF305" s="30" t="str">
        <f t="shared" si="307"/>
        <v>0,41058163814657-0,0343899385236802i</v>
      </c>
      <c r="BG305" s="68">
        <f t="shared" si="308"/>
        <v>-7.70164762751829</v>
      </c>
      <c r="BH305" s="31">
        <f t="shared" si="309"/>
        <v>-4.78786584911537</v>
      </c>
      <c r="BI305" s="30" t="str">
        <f t="shared" si="263"/>
        <v>2,09468515578954+1,37332491080693i</v>
      </c>
      <c r="BJ305" s="68">
        <f t="shared" si="310"/>
        <v>7.97525631245785</v>
      </c>
      <c r="BK305" s="31">
        <f t="shared" si="264"/>
        <v>33.249792329777</v>
      </c>
      <c r="BL305" s="32">
        <f t="shared" si="311"/>
        <v>-7.70164762751829</v>
      </c>
      <c r="BM305" s="31">
        <f t="shared" si="312"/>
        <v>-4.78786584911537</v>
      </c>
      <c r="BO305">
        <f t="shared" si="313"/>
        <v>0</v>
      </c>
      <c r="BP305">
        <f t="shared" si="314"/>
        <v>0</v>
      </c>
    </row>
    <row r="306" spans="14:68">
      <c r="N306" s="7">
        <v>88</v>
      </c>
      <c r="O306" s="18">
        <f t="shared" si="315"/>
        <v>7585.77575029184</v>
      </c>
      <c r="P306" s="86" t="str">
        <f t="shared" si="265"/>
        <v>15</v>
      </c>
      <c r="Q306" s="4" t="str">
        <f t="shared" si="266"/>
        <v>1+13,9016601318563i</v>
      </c>
      <c r="R306" s="4">
        <f t="shared" si="277"/>
        <v>13.9375806516642</v>
      </c>
      <c r="S306" s="4">
        <f t="shared" si="278"/>
        <v>1.4989861617224</v>
      </c>
      <c r="T306" s="4" t="str">
        <f t="shared" si="267"/>
        <v>1+0,00953256694755858i</v>
      </c>
      <c r="U306" s="4">
        <f t="shared" si="279"/>
        <v>1.00004543388419</v>
      </c>
      <c r="V306" s="4">
        <f t="shared" si="280"/>
        <v>0.00953227822237931</v>
      </c>
      <c r="W306" t="str">
        <f t="shared" si="268"/>
        <v>1-0,834099607911376i</v>
      </c>
      <c r="X306" s="4">
        <f t="shared" si="281"/>
        <v>1.30219896940441</v>
      </c>
      <c r="Y306" s="4">
        <f t="shared" si="282"/>
        <v>-0.69519033342509</v>
      </c>
      <c r="Z306" t="str">
        <f t="shared" si="269"/>
        <v>0,999590798266782+0,0442583465422361i</v>
      </c>
      <c r="AA306" s="4">
        <f t="shared" si="283"/>
        <v>1.00057012009068</v>
      </c>
      <c r="AB306" s="4">
        <f t="shared" si="284"/>
        <v>0.0442475652611391</v>
      </c>
      <c r="AC306" s="67" t="str">
        <f t="shared" si="285"/>
        <v>-0,856700104442709-1,10819686323129i</v>
      </c>
      <c r="AD306" s="68">
        <f t="shared" si="286"/>
        <v>2.92706829267175</v>
      </c>
      <c r="AE306" s="31">
        <f t="shared" si="287"/>
        <v>-127.706092110665</v>
      </c>
      <c r="AF306" s="32" t="str">
        <f t="shared" si="288"/>
        <v>75,4669735059805</v>
      </c>
      <c r="AG306" s="32" t="str">
        <f t="shared" si="270"/>
        <v>1+8,93678151333618i</v>
      </c>
      <c r="AH306" s="32">
        <f t="shared" si="289"/>
        <v>8.99255602246143</v>
      </c>
      <c r="AI306" s="32">
        <f t="shared" si="290"/>
        <v>1.45936276187154</v>
      </c>
      <c r="AJ306" s="32" t="str">
        <f t="shared" si="271"/>
        <v>1+0,00953256694755858i</v>
      </c>
      <c r="AK306" s="32">
        <f t="shared" si="291"/>
        <v>1.00004543388419</v>
      </c>
      <c r="AL306" s="32">
        <f t="shared" si="292"/>
        <v>0.00953227822237931</v>
      </c>
      <c r="AM306" s="32" t="str">
        <f t="shared" si="272"/>
        <v>1-0,106577338474043i</v>
      </c>
      <c r="AN306" s="32">
        <f t="shared" si="293"/>
        <v>1.00566332789667</v>
      </c>
      <c r="AO306" s="32">
        <f t="shared" si="294"/>
        <v>-0.10617653878911</v>
      </c>
      <c r="AP306" s="30" t="str">
        <f t="shared" si="295"/>
        <v>0,124818236140944-8,43914850695475i</v>
      </c>
      <c r="AQ306" s="32">
        <f t="shared" si="296"/>
        <v>18.5269225268182</v>
      </c>
      <c r="AR306" s="31">
        <f t="shared" si="297"/>
        <v>-89.1526352784309</v>
      </c>
      <c r="AS306" t="str">
        <f t="shared" si="273"/>
        <v>-0,000338461538461538</v>
      </c>
      <c r="AT306" t="str">
        <f t="shared" si="274"/>
        <v>0,0083435698721896i</v>
      </c>
      <c r="AU306">
        <f t="shared" si="298"/>
        <v>0.0083435698721896</v>
      </c>
      <c r="AV306">
        <f t="shared" si="299"/>
        <v>1.5707963267949</v>
      </c>
      <c r="AW306" t="str">
        <f t="shared" si="275"/>
        <v>1+1,35413050248644i</v>
      </c>
      <c r="AX306">
        <f t="shared" si="300"/>
        <v>1.68335065205208</v>
      </c>
      <c r="AY306">
        <f t="shared" si="301"/>
        <v>0.934708061997224</v>
      </c>
      <c r="AZ306" t="str">
        <f t="shared" si="276"/>
        <v>1+11,8203830149726i</v>
      </c>
      <c r="BA306">
        <f t="shared" si="302"/>
        <v>11.8626074123969</v>
      </c>
      <c r="BB306">
        <f t="shared" si="303"/>
        <v>1.48639766623806</v>
      </c>
      <c r="BC306" s="30" t="str">
        <f t="shared" si="304"/>
        <v>-0,149830228661513+0,243455237335461i</v>
      </c>
      <c r="BD306" s="32">
        <f t="shared" si="305"/>
        <v>-10.8767403349933</v>
      </c>
      <c r="BE306" s="31">
        <f t="shared" si="306"/>
        <v>121.609485924243</v>
      </c>
      <c r="BF306" s="30" t="str">
        <f t="shared" si="307"/>
        <v>0,39815590289538-0,0425267378324984i</v>
      </c>
      <c r="BG306" s="68">
        <f t="shared" si="308"/>
        <v>-7.94967204232157</v>
      </c>
      <c r="BH306" s="31">
        <f t="shared" si="309"/>
        <v>-6.09660618642204</v>
      </c>
      <c r="BI306" s="30" t="str">
        <f t="shared" ref="BI306:BI369" si="316">IMPRODUCT(AP306,BC306)</f>
        <v>2,03585335780775+1,29482720380898i</v>
      </c>
      <c r="BJ306" s="68">
        <f t="shared" si="310"/>
        <v>7.65018219182485</v>
      </c>
      <c r="BK306" s="31">
        <f t="shared" ref="BK306:BK369" si="317">(180/PI())*IMARGUMENT(BI306)</f>
        <v>32.4568506458115</v>
      </c>
      <c r="BL306" s="32">
        <f t="shared" si="311"/>
        <v>-7.94967204232157</v>
      </c>
      <c r="BM306" s="31">
        <f t="shared" si="312"/>
        <v>-6.09660618642204</v>
      </c>
      <c r="BO306">
        <f t="shared" si="313"/>
        <v>0</v>
      </c>
      <c r="BP306">
        <f t="shared" si="314"/>
        <v>0</v>
      </c>
    </row>
    <row r="307" spans="14:68">
      <c r="N307" s="7">
        <v>89</v>
      </c>
      <c r="O307" s="18">
        <f t="shared" si="315"/>
        <v>7762.47116628693</v>
      </c>
      <c r="P307" s="86" t="str">
        <f t="shared" si="265"/>
        <v>15</v>
      </c>
      <c r="Q307" s="4" t="str">
        <f t="shared" si="266"/>
        <v>1+14,2254713939973i</v>
      </c>
      <c r="R307" s="4">
        <f t="shared" si="277"/>
        <v>14.2605762990643</v>
      </c>
      <c r="S307" s="4">
        <f t="shared" si="278"/>
        <v>1.50061533647596</v>
      </c>
      <c r="T307" s="4" t="str">
        <f t="shared" si="267"/>
        <v>1+0,00975460895588384i</v>
      </c>
      <c r="U307" s="4">
        <f t="shared" si="279"/>
        <v>1.00004757506625</v>
      </c>
      <c r="V307" s="4">
        <f t="shared" si="280"/>
        <v>0.00975429958207523</v>
      </c>
      <c r="W307" t="str">
        <f t="shared" si="268"/>
        <v>1-0,853528283639837i</v>
      </c>
      <c r="X307" s="4">
        <f t="shared" si="281"/>
        <v>1.3147283107065</v>
      </c>
      <c r="Y307" s="4">
        <f t="shared" si="282"/>
        <v>-0.706538851656394</v>
      </c>
      <c r="Z307" t="str">
        <f t="shared" si="269"/>
        <v>0,999571513183236+0,0452892558666034i</v>
      </c>
      <c r="AA307" s="4">
        <f t="shared" si="283"/>
        <v>1.00059698513656</v>
      </c>
      <c r="AB307" s="4">
        <f t="shared" si="284"/>
        <v>0.0452777038132422</v>
      </c>
      <c r="AC307" s="67" t="str">
        <f t="shared" si="285"/>
        <v>-0,86032539569296-1,08173377534312i</v>
      </c>
      <c r="AD307" s="68">
        <f t="shared" si="286"/>
        <v>2.81103336955187</v>
      </c>
      <c r="AE307" s="31">
        <f t="shared" si="287"/>
        <v>-128.495960850991</v>
      </c>
      <c r="AF307" s="32" t="str">
        <f t="shared" si="288"/>
        <v>75,4669735059805</v>
      </c>
      <c r="AG307" s="32" t="str">
        <f t="shared" si="270"/>
        <v>1+9,14494589614111i</v>
      </c>
      <c r="AH307" s="32">
        <f t="shared" si="289"/>
        <v>9.19945843206806</v>
      </c>
      <c r="AI307" s="32">
        <f t="shared" si="290"/>
        <v>1.4618790563696</v>
      </c>
      <c r="AJ307" s="32" t="str">
        <f t="shared" si="271"/>
        <v>1+0,00975460895588384i</v>
      </c>
      <c r="AK307" s="32">
        <f t="shared" si="291"/>
        <v>1.00004757506625</v>
      </c>
      <c r="AL307" s="32">
        <f t="shared" si="292"/>
        <v>0.00975429958207523</v>
      </c>
      <c r="AM307" s="32" t="str">
        <f t="shared" si="272"/>
        <v>1-0,109059843596423i</v>
      </c>
      <c r="AN307" s="32">
        <f t="shared" si="293"/>
        <v>1.00592944558019</v>
      </c>
      <c r="AO307" s="32">
        <f t="shared" si="294"/>
        <v>-0.108630515600301</v>
      </c>
      <c r="AP307" s="30" t="str">
        <f t="shared" si="295"/>
        <v>0,082861897988746-8,2520330855814i</v>
      </c>
      <c r="AQ307" s="32">
        <f t="shared" si="296"/>
        <v>18.3316570862719</v>
      </c>
      <c r="AR307" s="31">
        <f t="shared" si="297"/>
        <v>-89.4246899606139</v>
      </c>
      <c r="AS307" t="str">
        <f t="shared" si="273"/>
        <v>-0,000338461538461538</v>
      </c>
      <c r="AT307" t="str">
        <f t="shared" si="274"/>
        <v>0,00853791658081646i</v>
      </c>
      <c r="AU307">
        <f t="shared" si="298"/>
        <v>0.00853791658081646</v>
      </c>
      <c r="AV307">
        <f t="shared" si="299"/>
        <v>1.5707963267949</v>
      </c>
      <c r="AW307" t="str">
        <f t="shared" si="275"/>
        <v>1+1,38567225382799i</v>
      </c>
      <c r="AX307">
        <f t="shared" si="300"/>
        <v>1.70882637942792</v>
      </c>
      <c r="AY307">
        <f t="shared" si="301"/>
        <v>0.945673398799253</v>
      </c>
      <c r="AZ307" t="str">
        <f t="shared" si="276"/>
        <v>1+12,095715105296i</v>
      </c>
      <c r="BA307">
        <f t="shared" si="302"/>
        <v>12.136981663844</v>
      </c>
      <c r="BB307">
        <f t="shared" si="303"/>
        <v>1.48831001123054</v>
      </c>
      <c r="BC307" s="30" t="str">
        <f t="shared" si="304"/>
        <v>-0,145396096177918+0,24111350604491i</v>
      </c>
      <c r="BD307" s="32">
        <f t="shared" si="305"/>
        <v>-11.0085965382572</v>
      </c>
      <c r="BE307" s="31">
        <f t="shared" si="306"/>
        <v>121.090787701589</v>
      </c>
      <c r="BF307" s="30" t="str">
        <f t="shared" si="307"/>
        <v>0,385908577156656-0,0501562044563135i</v>
      </c>
      <c r="BG307" s="68">
        <f t="shared" si="308"/>
        <v>-8.19756316870533</v>
      </c>
      <c r="BH307" s="31">
        <f t="shared" si="309"/>
        <v>-7.40517314940164</v>
      </c>
      <c r="BI307" s="30" t="str">
        <f t="shared" si="316"/>
        <v>1,97762883277367+1,21979251891616i</v>
      </c>
      <c r="BJ307" s="68">
        <f t="shared" si="310"/>
        <v>7.32306054801474</v>
      </c>
      <c r="BK307" s="31">
        <f t="shared" si="317"/>
        <v>31.6660977409752</v>
      </c>
      <c r="BL307" s="32">
        <f t="shared" si="311"/>
        <v>-8.19756316870533</v>
      </c>
      <c r="BM307" s="31">
        <f t="shared" si="312"/>
        <v>-7.40517314940164</v>
      </c>
      <c r="BO307">
        <f t="shared" si="313"/>
        <v>0</v>
      </c>
      <c r="BP307">
        <f t="shared" si="314"/>
        <v>0</v>
      </c>
    </row>
    <row r="308" spans="14:68">
      <c r="N308" s="7">
        <v>90</v>
      </c>
      <c r="O308" s="18">
        <f t="shared" si="315"/>
        <v>7943.28234724282</v>
      </c>
      <c r="P308" s="86" t="str">
        <f t="shared" si="265"/>
        <v>15</v>
      </c>
      <c r="Q308" s="4" t="str">
        <f t="shared" si="266"/>
        <v>1+14,5568251893677i</v>
      </c>
      <c r="R308" s="4">
        <f t="shared" si="277"/>
        <v>14.5911329098809</v>
      </c>
      <c r="S308" s="4">
        <f t="shared" si="278"/>
        <v>1.50220778734777</v>
      </c>
      <c r="T308" s="4" t="str">
        <f t="shared" si="267"/>
        <v>1+0,009981822986995i</v>
      </c>
      <c r="U308" s="4">
        <f t="shared" si="279"/>
        <v>1.0000498171542</v>
      </c>
      <c r="V308" s="4">
        <f t="shared" si="280"/>
        <v>0.00998149148787841</v>
      </c>
      <c r="W308" t="str">
        <f t="shared" si="268"/>
        <v>1-0,873409511362063i</v>
      </c>
      <c r="X308" s="4">
        <f t="shared" si="281"/>
        <v>1.32772142203766</v>
      </c>
      <c r="Y308" s="4">
        <f t="shared" si="282"/>
        <v>-0.717928481558892</v>
      </c>
      <c r="Z308" t="str">
        <f t="shared" si="269"/>
        <v>0,999551319221703+0,0463441781539052i</v>
      </c>
      <c r="AA308" s="4">
        <f t="shared" si="283"/>
        <v>1.00062511591835</v>
      </c>
      <c r="AB308" s="4">
        <f t="shared" si="284"/>
        <v>0.0463318002394578</v>
      </c>
      <c r="AC308" s="67" t="str">
        <f t="shared" si="285"/>
        <v>-0,863784541822182-1,05582123749628i</v>
      </c>
      <c r="AD308" s="68">
        <f t="shared" si="286"/>
        <v>2.69718886446764</v>
      </c>
      <c r="AE308" s="31">
        <f t="shared" si="287"/>
        <v>-129.287157427737</v>
      </c>
      <c r="AF308" s="32" t="str">
        <f t="shared" si="288"/>
        <v>75,4669735059805</v>
      </c>
      <c r="AG308" s="32" t="str">
        <f t="shared" si="270"/>
        <v>1+9,35795905030782i</v>
      </c>
      <c r="AH308" s="32">
        <f t="shared" si="289"/>
        <v>9.41123783501607</v>
      </c>
      <c r="AI308" s="32">
        <f t="shared" si="290"/>
        <v>1.46433941180028</v>
      </c>
      <c r="AJ308" s="32" t="str">
        <f t="shared" si="271"/>
        <v>1+0,009981822986995i</v>
      </c>
      <c r="AK308" s="32">
        <f t="shared" si="291"/>
        <v>1.0000498171542</v>
      </c>
      <c r="AL308" s="32">
        <f t="shared" si="292"/>
        <v>0.00998149148787841</v>
      </c>
      <c r="AM308" s="32" t="str">
        <f t="shared" si="272"/>
        <v>1-0,111600173691454i</v>
      </c>
      <c r="AN308" s="32">
        <f t="shared" si="293"/>
        <v>1.00620802956842</v>
      </c>
      <c r="AO308" s="32">
        <f t="shared" si="294"/>
        <v>-0.111140293608682</v>
      </c>
      <c r="AP308" s="30" t="str">
        <f t="shared" si="295"/>
        <v>0,0427502612417754-8,06888457442534i</v>
      </c>
      <c r="AQ308" s="32">
        <f t="shared" si="296"/>
        <v>18.1363919654052</v>
      </c>
      <c r="AR308" s="31">
        <f t="shared" si="297"/>
        <v>-89.6964404929465</v>
      </c>
      <c r="AS308" t="str">
        <f t="shared" si="273"/>
        <v>-0,000338461538461538</v>
      </c>
      <c r="AT308" t="str">
        <f t="shared" si="274"/>
        <v>0,00873679020582712i</v>
      </c>
      <c r="AU308">
        <f t="shared" si="298"/>
        <v>0.00873679020582712</v>
      </c>
      <c r="AV308">
        <f t="shared" si="299"/>
        <v>1.5707963267949</v>
      </c>
      <c r="AW308" t="str">
        <f t="shared" si="275"/>
        <v>1+1,41794870694006i</v>
      </c>
      <c r="AX308">
        <f t="shared" si="300"/>
        <v>1.73510188044189</v>
      </c>
      <c r="AY308">
        <f t="shared" si="301"/>
        <v>0.956559477290703</v>
      </c>
      <c r="AZ308" t="str">
        <f t="shared" si="276"/>
        <v>1+12,3774605038738i</v>
      </c>
      <c r="BA308">
        <f t="shared" si="302"/>
        <v>12.4177908069413</v>
      </c>
      <c r="BB308">
        <f t="shared" si="303"/>
        <v>1.49017941041862</v>
      </c>
      <c r="BC308" s="30" t="str">
        <f t="shared" si="304"/>
        <v>-0,141025830021206+0,238707197128986i</v>
      </c>
      <c r="BD308" s="32">
        <f t="shared" si="305"/>
        <v>-11.1424644835931</v>
      </c>
      <c r="BE308" s="31">
        <f t="shared" si="306"/>
        <v>120.574170032283</v>
      </c>
      <c r="BF308" s="30" t="str">
        <f t="shared" si="307"/>
        <v>0,373848060241955-0,0572935205297887i</v>
      </c>
      <c r="BG308" s="68">
        <f t="shared" si="308"/>
        <v>-8.44527561912541</v>
      </c>
      <c r="BH308" s="31">
        <f t="shared" si="309"/>
        <v>-8.71298739545337</v>
      </c>
      <c r="BI308" s="30" t="str">
        <f t="shared" si="316"/>
        <v>1,92007192964314+1,1481259394912i</v>
      </c>
      <c r="BJ308" s="68">
        <f t="shared" si="310"/>
        <v>6.99392748181214</v>
      </c>
      <c r="BK308" s="31">
        <f t="shared" si="317"/>
        <v>30.8777295393367</v>
      </c>
      <c r="BL308" s="32">
        <f t="shared" si="311"/>
        <v>-8.44527561912541</v>
      </c>
      <c r="BM308" s="31">
        <f t="shared" si="312"/>
        <v>-8.71298739545337</v>
      </c>
      <c r="BO308">
        <f t="shared" si="313"/>
        <v>0</v>
      </c>
      <c r="BP308">
        <f t="shared" si="314"/>
        <v>0</v>
      </c>
    </row>
    <row r="309" spans="14:68">
      <c r="N309" s="7">
        <v>91</v>
      </c>
      <c r="O309" s="18">
        <f t="shared" si="315"/>
        <v>8128.30516164101</v>
      </c>
      <c r="P309" s="86" t="str">
        <f t="shared" si="265"/>
        <v>15</v>
      </c>
      <c r="Q309" s="4" t="str">
        <f t="shared" si="266"/>
        <v>1+14,895897206136i</v>
      </c>
      <c r="R309" s="4">
        <f t="shared" si="277"/>
        <v>14.9294257617555</v>
      </c>
      <c r="S309" s="4">
        <f t="shared" si="278"/>
        <v>1.50376432635185</v>
      </c>
      <c r="T309" s="4" t="str">
        <f t="shared" si="267"/>
        <v>1+0,010214329512779i</v>
      </c>
      <c r="U309" s="4">
        <f t="shared" si="279"/>
        <v>1.00005216490311</v>
      </c>
      <c r="V309" s="4">
        <f t="shared" si="280"/>
        <v>0.0102139743060766</v>
      </c>
      <c r="W309" t="str">
        <f t="shared" si="268"/>
        <v>1-0,89375383236816i</v>
      </c>
      <c r="X309" s="4">
        <f t="shared" si="281"/>
        <v>1.34119197465269</v>
      </c>
      <c r="Y309" s="4">
        <f t="shared" si="282"/>
        <v>-0.729353442905921</v>
      </c>
      <c r="Z309" t="str">
        <f t="shared" si="269"/>
        <v>0,999530173548083+0,0474236727379022i</v>
      </c>
      <c r="AA309" s="4">
        <f t="shared" si="283"/>
        <v>1.00065457205222</v>
      </c>
      <c r="AB309" s="4">
        <f t="shared" si="284"/>
        <v>0.0474104099380546</v>
      </c>
      <c r="AC309" s="67" t="str">
        <f t="shared" si="285"/>
        <v>-0,867084666919976-1,03044705219603i</v>
      </c>
      <c r="AD309" s="68">
        <f t="shared" si="286"/>
        <v>2.58555143738459</v>
      </c>
      <c r="AE309" s="31">
        <f t="shared" si="287"/>
        <v>-130.079422108782</v>
      </c>
      <c r="AF309" s="32" t="str">
        <f t="shared" si="288"/>
        <v>75,4669735059805</v>
      </c>
      <c r="AG309" s="32" t="str">
        <f t="shared" si="270"/>
        <v>1+9,57593391823028i</v>
      </c>
      <c r="AH309" s="32">
        <f t="shared" si="289"/>
        <v>9.6280065645134</v>
      </c>
      <c r="AI309" s="32">
        <f t="shared" si="290"/>
        <v>1.46674501346462</v>
      </c>
      <c r="AJ309" s="32" t="str">
        <f t="shared" si="271"/>
        <v>1+0,010214329512779i</v>
      </c>
      <c r="AK309" s="32">
        <f t="shared" si="291"/>
        <v>1.00005216490311</v>
      </c>
      <c r="AL309" s="32">
        <f t="shared" si="292"/>
        <v>0.0102139743060766</v>
      </c>
      <c r="AM309" s="32" t="str">
        <f t="shared" si="272"/>
        <v>1-0,11419967567578i</v>
      </c>
      <c r="AN309" s="32">
        <f t="shared" si="293"/>
        <v>1.00649966017106</v>
      </c>
      <c r="AO309" s="32">
        <f t="shared" si="294"/>
        <v>-0.113707076990659</v>
      </c>
      <c r="AP309" s="30" t="str">
        <f t="shared" si="295"/>
        <v>0,00440407731917203-7,88963251727258i</v>
      </c>
      <c r="AQ309" s="32">
        <f t="shared" si="296"/>
        <v>17.9411368561346</v>
      </c>
      <c r="AR309" s="31">
        <f t="shared" si="297"/>
        <v>-89.9680168859226</v>
      </c>
      <c r="AS309" t="str">
        <f t="shared" si="273"/>
        <v>-0,000338461538461538</v>
      </c>
      <c r="AT309" t="str">
        <f t="shared" si="274"/>
        <v>0,00894029619265004i</v>
      </c>
      <c r="AU309">
        <f t="shared" si="298"/>
        <v>0.00894029619265004</v>
      </c>
      <c r="AV309">
        <f t="shared" si="299"/>
        <v>1.5707963267949</v>
      </c>
      <c r="AW309" t="str">
        <f t="shared" si="275"/>
        <v>1+1,45097697522532i</v>
      </c>
      <c r="AX309">
        <f t="shared" si="300"/>
        <v>1.7621958411692</v>
      </c>
      <c r="AY309">
        <f t="shared" si="301"/>
        <v>0.967361749015774</v>
      </c>
      <c r="AZ309" t="str">
        <f t="shared" si="276"/>
        <v>1+12,6657685958459i</v>
      </c>
      <c r="BA309">
        <f t="shared" si="302"/>
        <v>12.7051837500886</v>
      </c>
      <c r="BB309">
        <f t="shared" si="303"/>
        <v>1.49200680269017</v>
      </c>
      <c r="BC309" s="30" t="str">
        <f t="shared" si="304"/>
        <v>-0,136722591465056+0,236239310419968i</v>
      </c>
      <c r="BD309" s="32">
        <f t="shared" si="305"/>
        <v>-11.2783160912042</v>
      </c>
      <c r="BE309" s="31">
        <f t="shared" si="306"/>
        <v>120.059947317958</v>
      </c>
      <c r="BF309" s="30" t="str">
        <f t="shared" si="307"/>
        <v>0,361982163715993-0,0639540924451337i</v>
      </c>
      <c r="BG309" s="68">
        <f t="shared" si="308"/>
        <v>-8.6927646538196</v>
      </c>
      <c r="BH309" s="31">
        <f t="shared" si="309"/>
        <v>-10.019474790824</v>
      </c>
      <c r="BI309" s="30" t="str">
        <f t="shared" si="316"/>
        <v>1,86323920848334+1,0797314196574i</v>
      </c>
      <c r="BJ309" s="68">
        <f t="shared" si="310"/>
        <v>6.66282076493037</v>
      </c>
      <c r="BK309" s="31">
        <f t="shared" si="317"/>
        <v>30.0919304320351</v>
      </c>
      <c r="BL309" s="32">
        <f t="shared" si="311"/>
        <v>-8.6927646538196</v>
      </c>
      <c r="BM309" s="31">
        <f t="shared" si="312"/>
        <v>-10.019474790824</v>
      </c>
      <c r="BO309">
        <f t="shared" si="313"/>
        <v>0</v>
      </c>
      <c r="BP309">
        <f t="shared" si="314"/>
        <v>0</v>
      </c>
    </row>
    <row r="310" spans="14:68">
      <c r="N310" s="7">
        <v>92</v>
      </c>
      <c r="O310" s="18">
        <f t="shared" si="315"/>
        <v>8317.63771102671</v>
      </c>
      <c r="P310" s="86" t="str">
        <f t="shared" si="265"/>
        <v>15</v>
      </c>
      <c r="Q310" s="4" t="str">
        <f t="shared" si="266"/>
        <v>1+15,2428672247734i</v>
      </c>
      <c r="R310" s="4">
        <f t="shared" si="277"/>
        <v>15.275634233382</v>
      </c>
      <c r="S310" s="4">
        <f t="shared" si="278"/>
        <v>1.50528574859918</v>
      </c>
      <c r="T310" s="4" t="str">
        <f t="shared" si="267"/>
        <v>1+0,0104522518112732i</v>
      </c>
      <c r="U310" s="4">
        <f t="shared" si="279"/>
        <v>1.00005462329211</v>
      </c>
      <c r="V310" s="4">
        <f t="shared" si="280"/>
        <v>0.010451871201557</v>
      </c>
      <c r="W310" t="str">
        <f t="shared" si="268"/>
        <v>1-0,914572033486404i</v>
      </c>
      <c r="X310" s="4">
        <f t="shared" si="281"/>
        <v>1.35515386743921</v>
      </c>
      <c r="Y310" s="4">
        <f t="shared" si="282"/>
        <v>-0.740807863918878</v>
      </c>
      <c r="Z310" t="str">
        <f t="shared" si="269"/>
        <v>0,999508031309569+0,0485283119809111i</v>
      </c>
      <c r="AA310" s="4">
        <f t="shared" si="283"/>
        <v>1.0006854159605</v>
      </c>
      <c r="AB310" s="4">
        <f t="shared" si="284"/>
        <v>0.0485141010549327</v>
      </c>
      <c r="AC310" s="67" t="str">
        <f t="shared" si="285"/>
        <v>-0,870232576492597-1,00559920753131i</v>
      </c>
      <c r="AD310" s="68">
        <f t="shared" si="286"/>
        <v>2.47613537139103</v>
      </c>
      <c r="AE310" s="31">
        <f t="shared" si="287"/>
        <v>-130.872489518032</v>
      </c>
      <c r="AF310" s="32" t="str">
        <f t="shared" si="288"/>
        <v>75,4669735059805</v>
      </c>
      <c r="AG310" s="32" t="str">
        <f t="shared" si="270"/>
        <v>1+9,79898607306861i</v>
      </c>
      <c r="AH310" s="32">
        <f t="shared" si="289"/>
        <v>9.8498795962282</v>
      </c>
      <c r="AI310" s="32">
        <f t="shared" si="290"/>
        <v>1.46909702541554</v>
      </c>
      <c r="AJ310" s="32" t="str">
        <f t="shared" si="271"/>
        <v>1+0,0104522518112732i</v>
      </c>
      <c r="AK310" s="32">
        <f t="shared" si="291"/>
        <v>1.00005462329211</v>
      </c>
      <c r="AL310" s="32">
        <f t="shared" si="292"/>
        <v>0.010451871201557</v>
      </c>
      <c r="AM310" s="32" t="str">
        <f t="shared" si="272"/>
        <v>1-0,116859727839761i</v>
      </c>
      <c r="AN310" s="32">
        <f t="shared" si="293"/>
        <v>1.00680494436151</v>
      </c>
      <c r="AO310" s="32">
        <f t="shared" si="294"/>
        <v>-0.116332091328002</v>
      </c>
      <c r="AP310" s="30" t="str">
        <f t="shared" si="295"/>
        <v>-0,0322526597978586-7,7142068101015i</v>
      </c>
      <c r="AQ310" s="32">
        <f t="shared" si="296"/>
        <v>17.7459014689105</v>
      </c>
      <c r="AR310" s="31">
        <f t="shared" si="297"/>
        <v>-90.2395489986953</v>
      </c>
      <c r="AS310" t="str">
        <f t="shared" si="273"/>
        <v>-0,000338461538461538</v>
      </c>
      <c r="AT310" t="str">
        <f t="shared" si="274"/>
        <v>0,00914854244285307i</v>
      </c>
      <c r="AU310">
        <f t="shared" si="298"/>
        <v>0.00914854244285307</v>
      </c>
      <c r="AV310">
        <f t="shared" si="299"/>
        <v>1.5707963267949</v>
      </c>
      <c r="AW310" t="str">
        <f t="shared" si="275"/>
        <v>1+1,4847745707088i</v>
      </c>
      <c r="AX310">
        <f t="shared" si="300"/>
        <v>1.79012723732798</v>
      </c>
      <c r="AY310">
        <f t="shared" si="301"/>
        <v>0.978075857516923</v>
      </c>
      <c r="AZ310" t="str">
        <f t="shared" si="276"/>
        <v>1+12,9607922459787i</v>
      </c>
      <c r="BA310">
        <f t="shared" si="302"/>
        <v>12.999312891204</v>
      </c>
      <c r="BB310">
        <f t="shared" si="303"/>
        <v>1.49379310810693</v>
      </c>
      <c r="BC310" s="30" t="str">
        <f t="shared" si="304"/>
        <v>-0,132489305737849+0,233712977468378i</v>
      </c>
      <c r="BD310" s="32">
        <f t="shared" si="305"/>
        <v>-11.4161217265105</v>
      </c>
      <c r="BE310" s="31">
        <f t="shared" si="306"/>
        <v>119.548421880898</v>
      </c>
      <c r="BF310" s="30" t="str">
        <f t="shared" si="307"/>
        <v>0,350318094821948-0,0701535056857084i</v>
      </c>
      <c r="BG310" s="68">
        <f t="shared" si="308"/>
        <v>-8.93998635511942</v>
      </c>
      <c r="BH310" s="31">
        <f t="shared" si="309"/>
        <v>-11.3240676371344</v>
      </c>
      <c r="BI310" s="30" t="str">
        <f t="shared" si="316"/>
        <v>1,80718337490048+1,0145120394359i</v>
      </c>
      <c r="BJ310" s="68">
        <f t="shared" si="310"/>
        <v>6.32977974240005</v>
      </c>
      <c r="BK310" s="31">
        <f t="shared" si="317"/>
        <v>29.3088728822026</v>
      </c>
      <c r="BL310" s="32">
        <f t="shared" si="311"/>
        <v>-8.93998635511942</v>
      </c>
      <c r="BM310" s="31">
        <f t="shared" si="312"/>
        <v>-11.3240676371344</v>
      </c>
      <c r="BO310">
        <f t="shared" si="313"/>
        <v>0</v>
      </c>
      <c r="BP310">
        <f t="shared" si="314"/>
        <v>0</v>
      </c>
    </row>
    <row r="311" spans="14:68">
      <c r="N311" s="7">
        <v>93</v>
      </c>
      <c r="O311" s="18">
        <f t="shared" si="315"/>
        <v>8511.38038202378</v>
      </c>
      <c r="P311" s="86" t="str">
        <f t="shared" si="265"/>
        <v>15</v>
      </c>
      <c r="Q311" s="4" t="str">
        <f t="shared" si="266"/>
        <v>1+15,5979192133766i</v>
      </c>
      <c r="R311" s="4">
        <f t="shared" si="277"/>
        <v>15.6299418996688</v>
      </c>
      <c r="S311" s="4">
        <f t="shared" si="278"/>
        <v>1.50677283257871</v>
      </c>
      <c r="T311" s="4" t="str">
        <f t="shared" si="267"/>
        <v>1+0,0106957160320297i</v>
      </c>
      <c r="U311" s="4">
        <f t="shared" si="279"/>
        <v>1.00005719753494</v>
      </c>
      <c r="V311" s="4">
        <f t="shared" si="280"/>
        <v>0.0106953082026308</v>
      </c>
      <c r="W311" t="str">
        <f t="shared" si="268"/>
        <v>1-0,935875152802598i</v>
      </c>
      <c r="X311" s="4">
        <f t="shared" si="281"/>
        <v>1.36962122560702</v>
      </c>
      <c r="Y311" s="4">
        <f t="shared" si="282"/>
        <v>-0.752285795959937</v>
      </c>
      <c r="Z311" t="str">
        <f t="shared" si="269"/>
        <v>0,999484845539502+0,0496586815772805i</v>
      </c>
      <c r="AA311" s="4">
        <f t="shared" si="283"/>
        <v>1.00071771300358</v>
      </c>
      <c r="AB311" s="4">
        <f t="shared" si="284"/>
        <v>0.0496434547670734</v>
      </c>
      <c r="AC311" s="67" t="str">
        <f t="shared" si="285"/>
        <v>-0,87323477028516-0,981265877410153i</v>
      </c>
      <c r="AD311" s="68">
        <f t="shared" si="286"/>
        <v>2.3689525222728</v>
      </c>
      <c r="AE311" s="31">
        <f t="shared" si="287"/>
        <v>-131.666089505876</v>
      </c>
      <c r="AF311" s="32" t="str">
        <f t="shared" si="288"/>
        <v>75,4669735059805</v>
      </c>
      <c r="AG311" s="32" t="str">
        <f t="shared" si="270"/>
        <v>1+10,0272337800278i</v>
      </c>
      <c r="AH311" s="32">
        <f t="shared" si="289"/>
        <v>10.0769746094416</v>
      </c>
      <c r="AI311" s="32">
        <f t="shared" si="290"/>
        <v>1.47139659057409</v>
      </c>
      <c r="AJ311" s="32" t="str">
        <f t="shared" si="271"/>
        <v>1+0,0106957160320297i</v>
      </c>
      <c r="AK311" s="32">
        <f t="shared" si="291"/>
        <v>1.00005719753494</v>
      </c>
      <c r="AL311" s="32">
        <f t="shared" si="292"/>
        <v>0.0106953082026308</v>
      </c>
      <c r="AM311" s="32" t="str">
        <f t="shared" si="272"/>
        <v>1-0,119581740578263i</v>
      </c>
      <c r="AN311" s="32">
        <f t="shared" si="293"/>
        <v>1.00712451696884</v>
      </c>
      <c r="AO311" s="32">
        <f t="shared" si="294"/>
        <v>-0.119016583654417</v>
      </c>
      <c r="AP311" s="30" t="str">
        <f t="shared" si="295"/>
        <v>-0,0672928320034763-7,54253777138314i</v>
      </c>
      <c r="AQ311" s="32">
        <f t="shared" si="296"/>
        <v>17.5506955504265</v>
      </c>
      <c r="AR311" s="31">
        <f t="shared" si="297"/>
        <v>-90.5111665446955</v>
      </c>
      <c r="AS311" t="str">
        <f t="shared" si="273"/>
        <v>-0,000338461538461538</v>
      </c>
      <c r="AT311" t="str">
        <f t="shared" si="274"/>
        <v>0,00936163937135461i</v>
      </c>
      <c r="AU311">
        <f t="shared" si="298"/>
        <v>0.00936163937135461</v>
      </c>
      <c r="AV311">
        <f t="shared" si="299"/>
        <v>1.5707963267949</v>
      </c>
      <c r="AW311" t="str">
        <f t="shared" si="275"/>
        <v>1+1,51935941332298i</v>
      </c>
      <c r="AX311">
        <f t="shared" si="300"/>
        <v>1.81891534350919</v>
      </c>
      <c r="AY311">
        <f t="shared" si="301"/>
        <v>0.988697644390588</v>
      </c>
      <c r="AZ311" t="str">
        <f t="shared" si="276"/>
        <v>1+13,2626878797168i</v>
      </c>
      <c r="BA311">
        <f t="shared" si="302"/>
        <v>13.3003341986127</v>
      </c>
      <c r="BB311">
        <f t="shared" si="303"/>
        <v>1.49553922816701</v>
      </c>
      <c r="BC311" s="30" t="str">
        <f t="shared" si="304"/>
        <v>-0,128328657946392+0,231131442963255i</v>
      </c>
      <c r="BD311" s="32">
        <f t="shared" si="305"/>
        <v>-11.5558503175367</v>
      </c>
      <c r="BE311" s="31">
        <f t="shared" si="306"/>
        <v>119.039883632115</v>
      </c>
      <c r="BF311" s="30" t="str">
        <f t="shared" si="307"/>
        <v>0,338862444319234-0,0759074793650618i</v>
      </c>
      <c r="BG311" s="68">
        <f t="shared" si="308"/>
        <v>-9.18689779526388</v>
      </c>
      <c r="BH311" s="31">
        <f t="shared" si="309"/>
        <v>-12.6262058737609</v>
      </c>
      <c r="BI311" s="30" t="str">
        <f t="shared" si="316"/>
        <v>1,75195323752506+0,952370260349521i</v>
      </c>
      <c r="BJ311" s="68">
        <f t="shared" si="310"/>
        <v>5.99484523288986</v>
      </c>
      <c r="BK311" s="31">
        <f t="shared" si="317"/>
        <v>28.5287170874195</v>
      </c>
      <c r="BL311" s="32">
        <f t="shared" si="311"/>
        <v>-9.18689779526388</v>
      </c>
      <c r="BM311" s="31">
        <f t="shared" si="312"/>
        <v>-12.6262058737609</v>
      </c>
      <c r="BO311">
        <f t="shared" si="313"/>
        <v>0</v>
      </c>
      <c r="BP311">
        <f t="shared" si="314"/>
        <v>0</v>
      </c>
    </row>
    <row r="312" spans="14:68">
      <c r="N312" s="7">
        <v>94</v>
      </c>
      <c r="O312" s="18">
        <f t="shared" si="315"/>
        <v>8709.63589956082</v>
      </c>
      <c r="P312" s="86" t="str">
        <f t="shared" si="265"/>
        <v>15</v>
      </c>
      <c r="Q312" s="4" t="str">
        <f t="shared" si="266"/>
        <v>1+15,9612414252096i</v>
      </c>
      <c r="R312" s="4">
        <f t="shared" si="277"/>
        <v>15.9925366291226</v>
      </c>
      <c r="S312" s="4">
        <f t="shared" si="278"/>
        <v>1.50822634043871</v>
      </c>
      <c r="T312" s="4" t="str">
        <f t="shared" si="267"/>
        <v>1+0,0109448512630009i</v>
      </c>
      <c r="U312" s="4">
        <f t="shared" si="279"/>
        <v>1.00005989309099</v>
      </c>
      <c r="V312" s="4">
        <f t="shared" si="280"/>
        <v>0.0109444142673402</v>
      </c>
      <c r="W312" t="str">
        <f t="shared" si="268"/>
        <v>1-0,957674485512578i</v>
      </c>
      <c r="X312" s="4">
        <f t="shared" si="281"/>
        <v>1.38460839958516</v>
      </c>
      <c r="Y312" s="4">
        <f t="shared" si="282"/>
        <v>-0.76378122871006</v>
      </c>
      <c r="Z312" t="str">
        <f t="shared" si="269"/>
        <v>0,999460567057757+0,0508153808639325i</v>
      </c>
      <c r="AA312" s="4">
        <f t="shared" si="283"/>
        <v>1.00075153161799</v>
      </c>
      <c r="AB312" s="4">
        <f t="shared" si="284"/>
        <v>0.0507990655716308</v>
      </c>
      <c r="AC312" s="67" t="str">
        <f t="shared" si="285"/>
        <v>-0,876097454595675-0,957435421478165i</v>
      </c>
      <c r="AD312" s="68">
        <f t="shared" si="286"/>
        <v>2.26401227713829</v>
      </c>
      <c r="AE312" s="31">
        <f t="shared" si="287"/>
        <v>-132.459948047703</v>
      </c>
      <c r="AF312" s="32" t="str">
        <f t="shared" si="288"/>
        <v>75,4669735059805</v>
      </c>
      <c r="AG312" s="32" t="str">
        <f t="shared" si="270"/>
        <v>1+10,2607980590633i</v>
      </c>
      <c r="AH312" s="32">
        <f t="shared" si="289"/>
        <v>10.3094120496213</v>
      </c>
      <c r="AI312" s="32">
        <f t="shared" si="290"/>
        <v>1.47364483086604</v>
      </c>
      <c r="AJ312" s="32" t="str">
        <f t="shared" si="271"/>
        <v>1+0,0109448512630009i</v>
      </c>
      <c r="AK312" s="32">
        <f t="shared" si="291"/>
        <v>1.00005989309099</v>
      </c>
      <c r="AL312" s="32">
        <f t="shared" si="292"/>
        <v>0.0109444142673402</v>
      </c>
      <c r="AM312" s="32" t="str">
        <f t="shared" si="272"/>
        <v>1-0,122367157138472i</v>
      </c>
      <c r="AN312" s="32">
        <f t="shared" si="293"/>
        <v>1.00745904191989</v>
      </c>
      <c r="AO312" s="32">
        <f t="shared" si="294"/>
        <v>-0.12176182247361</v>
      </c>
      <c r="AP312" s="30" t="str">
        <f t="shared" si="295"/>
        <v>-0,100786312464795-7,37455620616051i</v>
      </c>
      <c r="AQ312" s="32">
        <f t="shared" si="296"/>
        <v>17.3555289013627</v>
      </c>
      <c r="AR312" s="31">
        <f t="shared" si="297"/>
        <v>-90.7829990966918</v>
      </c>
      <c r="AS312" t="str">
        <f t="shared" si="273"/>
        <v>-0,000338461538461538</v>
      </c>
      <c r="AT312" t="str">
        <f t="shared" si="274"/>
        <v>0,00957969996496678i</v>
      </c>
      <c r="AU312">
        <f t="shared" si="298"/>
        <v>0.00957969996496678</v>
      </c>
      <c r="AV312">
        <f t="shared" si="299"/>
        <v>1.5707963267949</v>
      </c>
      <c r="AW312" t="str">
        <f t="shared" si="275"/>
        <v>1+1,5547498404092i</v>
      </c>
      <c r="AX312">
        <f t="shared" si="300"/>
        <v>1.84857974300608</v>
      </c>
      <c r="AY312">
        <f t="shared" si="301"/>
        <v>0.999223154350491</v>
      </c>
      <c r="AZ312" t="str">
        <f t="shared" si="276"/>
        <v>1+13,5716155661211i</v>
      </c>
      <c r="BA312">
        <f t="shared" si="302"/>
        <v>13.6084072938232</v>
      </c>
      <c r="BB312">
        <f t="shared" si="303"/>
        <v>1.4972460460721</v>
      </c>
      <c r="BC312" s="30" t="str">
        <f t="shared" si="304"/>
        <v>-0,124243090588224+0,228498046248914i</v>
      </c>
      <c r="BD312" s="32">
        <f t="shared" si="305"/>
        <v>-11.6974694736366</v>
      </c>
      <c r="BE312" s="31">
        <f t="shared" si="306"/>
        <v>118.534609796549</v>
      </c>
      <c r="BF312" s="30" t="str">
        <f t="shared" si="307"/>
        <v>0,327621178632709-0,0812318208956723i</v>
      </c>
      <c r="BG312" s="68">
        <f t="shared" si="308"/>
        <v>-9.43345719649828</v>
      </c>
      <c r="BH312" s="31">
        <f t="shared" si="309"/>
        <v>-13.9253382511544</v>
      </c>
      <c r="BI312" s="30" t="str">
        <f t="shared" si="316"/>
        <v>1,6975936880101+0,893208179283112i</v>
      </c>
      <c r="BJ312" s="68">
        <f t="shared" si="310"/>
        <v>5.65805942772618</v>
      </c>
      <c r="BK312" s="31">
        <f t="shared" si="317"/>
        <v>27.7516106998572</v>
      </c>
      <c r="BL312" s="32">
        <f t="shared" si="311"/>
        <v>-9.43345719649828</v>
      </c>
      <c r="BM312" s="31">
        <f t="shared" si="312"/>
        <v>-13.9253382511544</v>
      </c>
      <c r="BO312">
        <f t="shared" si="313"/>
        <v>0</v>
      </c>
      <c r="BP312">
        <f t="shared" si="314"/>
        <v>0</v>
      </c>
    </row>
    <row r="313" spans="14:68">
      <c r="N313" s="7">
        <v>95</v>
      </c>
      <c r="O313" s="18">
        <f t="shared" si="315"/>
        <v>8912.50938133747</v>
      </c>
      <c r="P313" s="86" t="str">
        <f t="shared" si="265"/>
        <v>15</v>
      </c>
      <c r="Q313" s="4" t="str">
        <f t="shared" si="266"/>
        <v>1+16,3330264985183i</v>
      </c>
      <c r="R313" s="4">
        <f t="shared" si="277"/>
        <v>16.3636106835044</v>
      </c>
      <c r="S313" s="4">
        <f t="shared" si="278"/>
        <v>1.50964701826799</v>
      </c>
      <c r="T313" s="4" t="str">
        <f t="shared" si="267"/>
        <v>1+0,011199789598984i</v>
      </c>
      <c r="U313" s="4">
        <f t="shared" si="279"/>
        <v>1.0000627156769</v>
      </c>
      <c r="V313" s="4">
        <f t="shared" si="280"/>
        <v>0.0111993213512832</v>
      </c>
      <c r="W313" t="str">
        <f t="shared" si="268"/>
        <v>1-0,979981589911097i</v>
      </c>
      <c r="X313" s="4">
        <f t="shared" si="281"/>
        <v>1.40012996416928</v>
      </c>
      <c r="Y313" s="4">
        <f t="shared" si="282"/>
        <v>-0.775288105739725</v>
      </c>
      <c r="Z313" t="str">
        <f t="shared" si="269"/>
        <v>0,999435144366418+0,0519990231381397i</v>
      </c>
      <c r="AA313" s="4">
        <f t="shared" si="283"/>
        <v>1.00078694346102</v>
      </c>
      <c r="AB313" s="4">
        <f t="shared" si="284"/>
        <v>0.0519815415807336</v>
      </c>
      <c r="AC313" s="67" t="str">
        <f t="shared" si="285"/>
        <v>-0,878826554095079-0,93409638474652i</v>
      </c>
      <c r="AD313" s="68">
        <f t="shared" si="286"/>
        <v>2.16132152248547</v>
      </c>
      <c r="AE313" s="31">
        <f t="shared" si="287"/>
        <v>-133.253788165164</v>
      </c>
      <c r="AF313" s="32" t="str">
        <f t="shared" si="288"/>
        <v>75,4669735059805</v>
      </c>
      <c r="AG313" s="32" t="str">
        <f t="shared" si="270"/>
        <v>1+10,4998027490475i</v>
      </c>
      <c r="AH313" s="32">
        <f t="shared" si="289"/>
        <v>10.5473151924509</v>
      </c>
      <c r="AI313" s="32">
        <f t="shared" si="290"/>
        <v>1.47584284737686</v>
      </c>
      <c r="AJ313" s="32" t="str">
        <f t="shared" si="271"/>
        <v>1+0,011199789598984i</v>
      </c>
      <c r="AK313" s="32">
        <f t="shared" si="291"/>
        <v>1.0000627156769</v>
      </c>
      <c r="AL313" s="32">
        <f t="shared" si="292"/>
        <v>0.0111993213512832</v>
      </c>
      <c r="AM313" s="32" t="str">
        <f t="shared" si="272"/>
        <v>1-0,125217454385116i</v>
      </c>
      <c r="AN313" s="32">
        <f t="shared" si="293"/>
        <v>1.00780921353334</v>
      </c>
      <c r="AO313" s="32">
        <f t="shared" si="294"/>
        <v>-0.124569097746351</v>
      </c>
      <c r="AP313" s="30" t="str">
        <f t="shared" si="295"/>
        <v>-0,132800077931019-7,21019346429496i</v>
      </c>
      <c r="AQ313" s="32">
        <f t="shared" si="296"/>
        <v>17.1604113941776</v>
      </c>
      <c r="AR313" s="31">
        <f t="shared" si="297"/>
        <v>-91.0551760910435</v>
      </c>
      <c r="AS313" t="str">
        <f t="shared" si="273"/>
        <v>-0,000338461538461538</v>
      </c>
      <c r="AT313" t="str">
        <f t="shared" si="274"/>
        <v>0,00980283984230269i</v>
      </c>
      <c r="AU313">
        <f t="shared" si="298"/>
        <v>0.00980283984230269</v>
      </c>
      <c r="AV313">
        <f t="shared" si="299"/>
        <v>1.5707963267949</v>
      </c>
      <c r="AW313" t="str">
        <f t="shared" si="275"/>
        <v>1+1,59096461644035i</v>
      </c>
      <c r="AX313">
        <f t="shared" si="300"/>
        <v>1.87914033823054</v>
      </c>
      <c r="AY313">
        <f t="shared" si="301"/>
        <v>1.00964863930749</v>
      </c>
      <c r="AZ313" t="str">
        <f t="shared" si="276"/>
        <v>1+13,8877391027401i</v>
      </c>
      <c r="BA313">
        <f t="shared" si="302"/>
        <v>13.9236955362352</v>
      </c>
      <c r="BB313">
        <f t="shared" si="303"/>
        <v>1.4989144269986</v>
      </c>
      <c r="BC313" s="30" t="str">
        <f t="shared" si="304"/>
        <v>-0,120234802599727+0,225816203085419i</v>
      </c>
      <c r="BD313" s="32">
        <f t="shared" si="305"/>
        <v>-11.8409456048219</v>
      </c>
      <c r="BE313" s="31">
        <f t="shared" si="306"/>
        <v>118.032864694844</v>
      </c>
      <c r="BF313" s="30" t="str">
        <f t="shared" si="307"/>
        <v>0,316599636170296-0,0861423811872769i</v>
      </c>
      <c r="BG313" s="68">
        <f t="shared" si="308"/>
        <v>-9.67962408233642</v>
      </c>
      <c r="BH313" s="31">
        <f t="shared" si="309"/>
        <v>-15.2209234703202</v>
      </c>
      <c r="BI313" s="30" t="str">
        <f t="shared" si="316"/>
        <v>1,64414570277366+0,836927778517516i</v>
      </c>
      <c r="BJ313" s="68">
        <f t="shared" si="310"/>
        <v>5.31946578935571</v>
      </c>
      <c r="BK313" s="31">
        <f t="shared" si="317"/>
        <v>26.9776886038006</v>
      </c>
      <c r="BL313" s="32">
        <f t="shared" si="311"/>
        <v>-9.67962408233642</v>
      </c>
      <c r="BM313" s="31">
        <f t="shared" si="312"/>
        <v>-15.2209234703202</v>
      </c>
      <c r="BO313">
        <f t="shared" si="313"/>
        <v>0</v>
      </c>
      <c r="BP313">
        <f t="shared" si="314"/>
        <v>0</v>
      </c>
    </row>
    <row r="314" spans="14:68">
      <c r="N314" s="7">
        <v>96</v>
      </c>
      <c r="O314" s="18">
        <f t="shared" si="315"/>
        <v>9120.10839355911</v>
      </c>
      <c r="P314" s="86" t="str">
        <f t="shared" si="265"/>
        <v>15</v>
      </c>
      <c r="Q314" s="4" t="str">
        <f t="shared" si="266"/>
        <v>1+16,7134715586696i</v>
      </c>
      <c r="R314" s="4">
        <f t="shared" si="277"/>
        <v>16.7433608198133</v>
      </c>
      <c r="S314" s="4">
        <f t="shared" si="278"/>
        <v>1.51103559637669</v>
      </c>
      <c r="T314" s="4" t="str">
        <f t="shared" si="267"/>
        <v>1+0,0114606662116592i</v>
      </c>
      <c r="U314" s="4">
        <f t="shared" si="279"/>
        <v>1.00006567127865</v>
      </c>
      <c r="V314" s="4">
        <f t="shared" si="280"/>
        <v>0.0114601644769876</v>
      </c>
      <c r="W314" t="str">
        <f t="shared" si="268"/>
        <v>1-1,00280829352018i</v>
      </c>
      <c r="X314" s="4">
        <f t="shared" si="281"/>
        <v>1.41620071796086</v>
      </c>
      <c r="Y314" s="4">
        <f t="shared" si="282"/>
        <v>-0.786800340375047</v>
      </c>
      <c r="Z314" t="str">
        <f t="shared" si="269"/>
        <v>0,999408523540549+0,0532102359827031i</v>
      </c>
      <c r="AA314" s="4">
        <f t="shared" si="283"/>
        <v>1.000824023562</v>
      </c>
      <c r="AB314" s="4">
        <f t="shared" si="284"/>
        <v>0.0531915048220541</v>
      </c>
      <c r="AC314" s="67" t="str">
        <f t="shared" si="285"/>
        <v>-0,881427723167573-0,911237496954051i</v>
      </c>
      <c r="AD314" s="68">
        <f t="shared" si="286"/>
        <v>2.06088462201975</v>
      </c>
      <c r="AE314" s="31">
        <f t="shared" si="287"/>
        <v>-134.047330864561</v>
      </c>
      <c r="AF314" s="32" t="str">
        <f t="shared" si="288"/>
        <v>75,4669735059805</v>
      </c>
      <c r="AG314" s="32" t="str">
        <f t="shared" si="270"/>
        <v>1+10,7443745734305i</v>
      </c>
      <c r="AH314" s="32">
        <f t="shared" si="289"/>
        <v>10.7908102093485</v>
      </c>
      <c r="AI314" s="32">
        <f t="shared" si="290"/>
        <v>1.47799172052344</v>
      </c>
      <c r="AJ314" s="32" t="str">
        <f t="shared" si="271"/>
        <v>1+0,0114606662116592i</v>
      </c>
      <c r="AK314" s="32">
        <f t="shared" si="291"/>
        <v>1.00006567127865</v>
      </c>
      <c r="AL314" s="32">
        <f t="shared" si="292"/>
        <v>0.0114601644769876</v>
      </c>
      <c r="AM314" s="32" t="str">
        <f t="shared" si="272"/>
        <v>1-0,128134143583524i</v>
      </c>
      <c r="AN314" s="32">
        <f t="shared" si="293"/>
        <v>1.00817575786759</v>
      </c>
      <c r="AO314" s="32">
        <f t="shared" si="294"/>
        <v>-0.127439720843975</v>
      </c>
      <c r="AP314" s="30" t="str">
        <f t="shared" si="295"/>
        <v>-0,163398317922139-7,0493814932492i</v>
      </c>
      <c r="AQ314" s="32">
        <f t="shared" si="296"/>
        <v>16.9653529909633</v>
      </c>
      <c r="AR314" s="31">
        <f t="shared" si="297"/>
        <v>-91.3278268309004</v>
      </c>
      <c r="AS314" t="str">
        <f t="shared" si="273"/>
        <v>-0,000338461538461538</v>
      </c>
      <c r="AT314" t="str">
        <f t="shared" si="274"/>
        <v>0,0100311773150789i</v>
      </c>
      <c r="AU314">
        <f t="shared" si="298"/>
        <v>0.0100311773150789</v>
      </c>
      <c r="AV314">
        <f t="shared" si="299"/>
        <v>1.5707963267949</v>
      </c>
      <c r="AW314" t="str">
        <f t="shared" si="275"/>
        <v>1+1,62802294297005i</v>
      </c>
      <c r="AX314">
        <f t="shared" si="300"/>
        <v>1.91061736170193</v>
      </c>
      <c r="AY314">
        <f t="shared" si="301"/>
        <v>1.01997056148266</v>
      </c>
      <c r="AZ314" t="str">
        <f t="shared" si="276"/>
        <v>1+14,2112261024574i</v>
      </c>
      <c r="BA314">
        <f t="shared" si="302"/>
        <v>14.2463661098249</v>
      </c>
      <c r="BB314">
        <f t="shared" si="303"/>
        <v>1.50054521837188</v>
      </c>
      <c r="BC314" s="30" t="str">
        <f t="shared" si="304"/>
        <v>-0,116305749873242+0,223089387789406i</v>
      </c>
      <c r="BD314" s="32">
        <f t="shared" si="305"/>
        <v>-11.9862440409975</v>
      </c>
      <c r="BE314" s="31">
        <f t="shared" si="306"/>
        <v>117.5348995807</v>
      </c>
      <c r="BF314" s="30" t="str">
        <f t="shared" si="307"/>
        <v>0,305802527628299-0,0906550107462069i</v>
      </c>
      <c r="BG314" s="68">
        <f t="shared" si="308"/>
        <v>-9.92535941897774</v>
      </c>
      <c r="BH314" s="31">
        <f t="shared" si="309"/>
        <v>-16.5124312838603</v>
      </c>
      <c r="BI314" s="30" t="str">
        <f t="shared" si="316"/>
        <v>1,59164636551689+0,783431170003834i</v>
      </c>
      <c r="BJ314" s="68">
        <f t="shared" si="310"/>
        <v>4.97910894996579</v>
      </c>
      <c r="BK314" s="31">
        <f t="shared" si="317"/>
        <v>26.2070727497998</v>
      </c>
      <c r="BL314" s="32">
        <f t="shared" si="311"/>
        <v>-9.92535941897774</v>
      </c>
      <c r="BM314" s="31">
        <f t="shared" si="312"/>
        <v>-16.5124312838603</v>
      </c>
      <c r="BO314">
        <f t="shared" si="313"/>
        <v>0</v>
      </c>
      <c r="BP314">
        <f t="shared" si="314"/>
        <v>0</v>
      </c>
    </row>
    <row r="315" spans="14:68">
      <c r="N315" s="7">
        <v>97</v>
      </c>
      <c r="O315" s="18">
        <f t="shared" si="315"/>
        <v>9332.54300796992</v>
      </c>
      <c r="P315" s="86" t="str">
        <f t="shared" si="265"/>
        <v>15</v>
      </c>
      <c r="Q315" s="4" t="str">
        <f t="shared" si="266"/>
        <v>1+17,1027783226703i</v>
      </c>
      <c r="R315" s="4">
        <f t="shared" si="277"/>
        <v>17.1319883946494</v>
      </c>
      <c r="S315" s="4">
        <f t="shared" si="278"/>
        <v>1.51239278957609</v>
      </c>
      <c r="T315" s="4" t="str">
        <f t="shared" si="267"/>
        <v>1+0,0117276194212596i</v>
      </c>
      <c r="U315" s="4">
        <f t="shared" si="279"/>
        <v>1.00006876616425</v>
      </c>
      <c r="V315" s="4">
        <f t="shared" si="280"/>
        <v>0.0117270818048695</v>
      </c>
      <c r="W315" t="str">
        <f t="shared" si="268"/>
        <v>1-1,02616669936022i</v>
      </c>
      <c r="X315" s="4">
        <f t="shared" si="281"/>
        <v>1.43283568313881</v>
      </c>
      <c r="Y315" s="4">
        <f t="shared" si="282"/>
        <v>-0.79831183175851</v>
      </c>
      <c r="Z315" t="str">
        <f t="shared" si="269"/>
        <v>0,999380648113809+0,0544496615987053i</v>
      </c>
      <c r="AA315" s="4">
        <f t="shared" si="283"/>
        <v>1.00086285048082</v>
      </c>
      <c r="AB315" s="4">
        <f t="shared" si="284"/>
        <v>0.0544295915452049</v>
      </c>
      <c r="AC315" s="67" t="str">
        <f t="shared" si="285"/>
        <v>-0,883906356785236-0,888847671686392i</v>
      </c>
      <c r="AD315" s="68">
        <f t="shared" si="286"/>
        <v>1.9627034044426</v>
      </c>
      <c r="AE315" s="31">
        <f t="shared" si="287"/>
        <v>-134.840296086585</v>
      </c>
      <c r="AF315" s="32" t="str">
        <f t="shared" si="288"/>
        <v>75,4669735059805</v>
      </c>
      <c r="AG315" s="32" t="str">
        <f t="shared" si="270"/>
        <v>1+10,9946432074309i</v>
      </c>
      <c r="AH315" s="32">
        <f t="shared" si="289"/>
        <v>11.0400262345117</v>
      </c>
      <c r="AI315" s="32">
        <f t="shared" si="290"/>
        <v>1.48009251024095</v>
      </c>
      <c r="AJ315" s="32" t="str">
        <f t="shared" si="271"/>
        <v>1+0,0117276194212596i</v>
      </c>
      <c r="AK315" s="32">
        <f t="shared" si="291"/>
        <v>1.00006876616425</v>
      </c>
      <c r="AL315" s="32">
        <f t="shared" si="292"/>
        <v>0.0117270818048695</v>
      </c>
      <c r="AM315" s="32" t="str">
        <f t="shared" si="272"/>
        <v>1-0,131118771200916i</v>
      </c>
      <c r="AN315" s="32">
        <f t="shared" si="293"/>
        <v>1.00855943412435</v>
      </c>
      <c r="AO315" s="32">
        <f t="shared" si="294"/>
        <v>-0.1303750244655</v>
      </c>
      <c r="AP315" s="30" t="str">
        <f t="shared" si="295"/>
        <v>-0,192642540779726-6,89205288575779i</v>
      </c>
      <c r="AQ315" s="32">
        <f t="shared" si="296"/>
        <v>16.7703637613782</v>
      </c>
      <c r="AR315" s="31">
        <f t="shared" si="297"/>
        <v>-91.6010804880944</v>
      </c>
      <c r="AS315" t="str">
        <f t="shared" si="273"/>
        <v>-0,000338461538461538</v>
      </c>
      <c r="AT315" t="str">
        <f t="shared" si="274"/>
        <v>0,0102648334508459i</v>
      </c>
      <c r="AU315">
        <f t="shared" si="298"/>
        <v>0.0102648334508459</v>
      </c>
      <c r="AV315">
        <f t="shared" si="299"/>
        <v>1.5707963267949</v>
      </c>
      <c r="AW315" t="str">
        <f t="shared" si="275"/>
        <v>1+1,66594446881354i</v>
      </c>
      <c r="AX315">
        <f t="shared" si="300"/>
        <v>1.9430313875927</v>
      </c>
      <c r="AY315">
        <f t="shared" si="301"/>
        <v>1.03018559557732</v>
      </c>
      <c r="AZ315" t="str">
        <f t="shared" si="276"/>
        <v>1+14,5422480823619i</v>
      </c>
      <c r="BA315">
        <f t="shared" si="302"/>
        <v>14.5765901118526</v>
      </c>
      <c r="BB315">
        <f t="shared" si="303"/>
        <v>1.50213925014319</v>
      </c>
      <c r="BC315" s="30" t="str">
        <f t="shared" si="304"/>
        <v>-0,112457647164195+0,220321115880137i</v>
      </c>
      <c r="BD315" s="32">
        <f t="shared" si="305"/>
        <v>-12.133329150434</v>
      </c>
      <c r="BE315" s="31">
        <f t="shared" si="306"/>
        <v>117.040952532399</v>
      </c>
      <c r="BF315" s="30" t="str">
        <f t="shared" si="307"/>
        <v>0,295233940070951-0,0947855170152452i</v>
      </c>
      <c r="BG315" s="68">
        <f t="shared" si="308"/>
        <v>-10.1706257459914</v>
      </c>
      <c r="BH315" s="31">
        <f t="shared" si="309"/>
        <v>-17.7993435541861</v>
      </c>
      <c r="BI315" s="30" t="str">
        <f t="shared" si="316"/>
        <v>1,5401289093749+0,732620832112947i</v>
      </c>
      <c r="BJ315" s="68">
        <f t="shared" si="310"/>
        <v>4.63703461094423</v>
      </c>
      <c r="BK315" s="31">
        <f t="shared" si="317"/>
        <v>25.4398720443047</v>
      </c>
      <c r="BL315" s="32">
        <f t="shared" si="311"/>
        <v>-10.1706257459914</v>
      </c>
      <c r="BM315" s="31">
        <f t="shared" si="312"/>
        <v>-17.7993435541861</v>
      </c>
      <c r="BO315">
        <f t="shared" si="313"/>
        <v>0</v>
      </c>
      <c r="BP315">
        <f t="shared" si="314"/>
        <v>0</v>
      </c>
    </row>
    <row r="316" spans="14:68">
      <c r="N316" s="7">
        <v>98</v>
      </c>
      <c r="O316" s="18">
        <f t="shared" si="315"/>
        <v>9549.92586021437</v>
      </c>
      <c r="P316" s="86" t="str">
        <f t="shared" si="265"/>
        <v>15</v>
      </c>
      <c r="Q316" s="4" t="str">
        <f t="shared" si="266"/>
        <v>1+17,5011532061197i</v>
      </c>
      <c r="R316" s="4">
        <f t="shared" si="277"/>
        <v>17.5296994710142</v>
      </c>
      <c r="S316" s="4">
        <f t="shared" si="278"/>
        <v>1.5137192974574</v>
      </c>
      <c r="T316" s="4" t="str">
        <f t="shared" si="267"/>
        <v>1+0,0120007907699107i</v>
      </c>
      <c r="U316" s="4">
        <f t="shared" si="279"/>
        <v>1.00007200689705</v>
      </c>
      <c r="V316" s="4">
        <f t="shared" si="280"/>
        <v>0.01200021470581</v>
      </c>
      <c r="W316" t="str">
        <f t="shared" si="268"/>
        <v>1-1,05006919236718i</v>
      </c>
      <c r="X316" s="4">
        <f t="shared" si="281"/>
        <v>1.45005010560279</v>
      </c>
      <c r="Y316" s="4">
        <f t="shared" si="282"/>
        <v>-0.809816481001221</v>
      </c>
      <c r="Z316" t="str">
        <f t="shared" si="269"/>
        <v>0,99935145895868+0,0557179571460136i</v>
      </c>
      <c r="AA316" s="4">
        <f t="shared" si="283"/>
        <v>1.00090350647371</v>
      </c>
      <c r="AB316" s="4">
        <f t="shared" si="284"/>
        <v>0.0556964525340122</v>
      </c>
      <c r="AC316" s="67" t="str">
        <f t="shared" si="285"/>
        <v>-0,886267600931085-0,866916005273972i</v>
      </c>
      <c r="AD316" s="68">
        <f t="shared" si="286"/>
        <v>1.86677716134363</v>
      </c>
      <c r="AE316" s="31">
        <f t="shared" si="287"/>
        <v>-135.632403661479</v>
      </c>
      <c r="AF316" s="32" t="str">
        <f t="shared" si="288"/>
        <v>75,4669735059805</v>
      </c>
      <c r="AG316" s="32" t="str">
        <f t="shared" si="270"/>
        <v>1+11,2507413467913i</v>
      </c>
      <c r="AH316" s="32">
        <f t="shared" si="289"/>
        <v>11.2950954335233</v>
      </c>
      <c r="AI316" s="32">
        <f t="shared" si="290"/>
        <v>1.48214625618331</v>
      </c>
      <c r="AJ316" s="32" t="str">
        <f t="shared" si="271"/>
        <v>1+0,0120007907699107i</v>
      </c>
      <c r="AK316" s="32">
        <f t="shared" si="291"/>
        <v>1.00007200689705</v>
      </c>
      <c r="AL316" s="32">
        <f t="shared" si="292"/>
        <v>0.01200021470581</v>
      </c>
      <c r="AM316" s="32" t="str">
        <f t="shared" si="272"/>
        <v>1-0,134172919726361i</v>
      </c>
      <c r="AN316" s="32">
        <f t="shared" si="293"/>
        <v>1.00896103610987</v>
      </c>
      <c r="AO316" s="32">
        <f t="shared" si="294"/>
        <v>-0.133376362515468</v>
      </c>
      <c r="AP316" s="30" t="str">
        <f t="shared" si="295"/>
        <v>-0,22059167657562-6,73814092271832i</v>
      </c>
      <c r="AQ316" s="32">
        <f t="shared" si="296"/>
        <v>16.5754539006706</v>
      </c>
      <c r="AR316" s="31">
        <f t="shared" si="297"/>
        <v>-91.8750661034688</v>
      </c>
      <c r="AS316" t="str">
        <f t="shared" si="273"/>
        <v>-0,000338461538461538</v>
      </c>
      <c r="AT316" t="str">
        <f t="shared" si="274"/>
        <v>0,0105039321371797i</v>
      </c>
      <c r="AU316">
        <f t="shared" si="298"/>
        <v>0.0105039321371797</v>
      </c>
      <c r="AV316">
        <f t="shared" si="299"/>
        <v>1.5707963267949</v>
      </c>
      <c r="AW316" t="str">
        <f t="shared" si="275"/>
        <v>1+1,70474930046578i</v>
      </c>
      <c r="AX316">
        <f t="shared" si="300"/>
        <v>1.97640334381385</v>
      </c>
      <c r="AY316">
        <f t="shared" si="301"/>
        <v>1.04029063003042</v>
      </c>
      <c r="AZ316" t="str">
        <f t="shared" si="276"/>
        <v>1+14,8809805546892i</v>
      </c>
      <c r="BA316">
        <f t="shared" si="302"/>
        <v>14.9145426436428</v>
      </c>
      <c r="BB316">
        <f t="shared" si="303"/>
        <v>1.50369733506838</v>
      </c>
      <c r="BC316" s="30" t="str">
        <f t="shared" si="304"/>
        <v>-0,108691971298893+0,217514927342882i</v>
      </c>
      <c r="BD316" s="32">
        <f t="shared" si="305"/>
        <v>-12.2821644568519</v>
      </c>
      <c r="BE316" s="31">
        <f t="shared" si="306"/>
        <v>116.551248396739</v>
      </c>
      <c r="BF316" s="30" t="str">
        <f t="shared" si="307"/>
        <v>0,28489734454309-0,0985496232590858i</v>
      </c>
      <c r="BG316" s="68">
        <f t="shared" si="308"/>
        <v>-10.4153872955083</v>
      </c>
      <c r="BH316" s="31">
        <f t="shared" si="309"/>
        <v>-19.0811552647397</v>
      </c>
      <c r="BI316" s="30" t="str">
        <f t="shared" si="316"/>
        <v>1,48962277741031+0,684399837277206i</v>
      </c>
      <c r="BJ316" s="68">
        <f t="shared" si="310"/>
        <v>4.29328944381868</v>
      </c>
      <c r="BK316" s="31">
        <f t="shared" si="317"/>
        <v>24.6761822932705</v>
      </c>
      <c r="BL316" s="32">
        <f t="shared" si="311"/>
        <v>-10.4153872955083</v>
      </c>
      <c r="BM316" s="31">
        <f t="shared" si="312"/>
        <v>-19.0811552647397</v>
      </c>
      <c r="BO316">
        <f t="shared" si="313"/>
        <v>0</v>
      </c>
      <c r="BP316">
        <f t="shared" si="314"/>
        <v>0</v>
      </c>
    </row>
    <row r="317" spans="14:68">
      <c r="N317" s="7">
        <v>99</v>
      </c>
      <c r="O317" s="18">
        <f t="shared" si="315"/>
        <v>9772.37220955812</v>
      </c>
      <c r="P317" s="86" t="str">
        <f t="shared" si="265"/>
        <v>15</v>
      </c>
      <c r="Q317" s="4" t="str">
        <f t="shared" si="266"/>
        <v>1+17,9088074326542i</v>
      </c>
      <c r="R317" s="4">
        <f t="shared" si="277"/>
        <v>17.9367049276028</v>
      </c>
      <c r="S317" s="4">
        <f t="shared" si="278"/>
        <v>1.51501580466885</v>
      </c>
      <c r="T317" s="4" t="str">
        <f t="shared" si="267"/>
        <v>1+0,0122803250966771i</v>
      </c>
      <c r="U317" s="4">
        <f t="shared" si="279"/>
        <v>1.00007540034963</v>
      </c>
      <c r="V317" s="4">
        <f t="shared" si="280"/>
        <v>0.0122797078353856</v>
      </c>
      <c r="W317" t="str">
        <f t="shared" si="268"/>
        <v>1-1,07452844595925i</v>
      </c>
      <c r="X317" s="4">
        <f t="shared" si="281"/>
        <v>1.46785945552549</v>
      </c>
      <c r="Y317" s="4">
        <f t="shared" si="282"/>
        <v>-0.821308207322441</v>
      </c>
      <c r="Z317" t="str">
        <f t="shared" si="269"/>
        <v>0,999320894161051+0,0570157950917151i</v>
      </c>
      <c r="AA317" s="4">
        <f t="shared" si="283"/>
        <v>1.00094607766692</v>
      </c>
      <c r="AB317" s="4">
        <f t="shared" si="284"/>
        <v>0.0569927534247165</v>
      </c>
      <c r="AC317" s="67" t="str">
        <f t="shared" si="285"/>
        <v>-0,888516362584168-0,845431775488691i</v>
      </c>
      <c r="AD317" s="68">
        <f t="shared" si="286"/>
        <v>1.77310265523138</v>
      </c>
      <c r="AE317" s="31">
        <f t="shared" si="287"/>
        <v>-136.423374263617</v>
      </c>
      <c r="AF317" s="32" t="str">
        <f t="shared" si="288"/>
        <v>75,4669735059805</v>
      </c>
      <c r="AG317" s="32" t="str">
        <f t="shared" si="270"/>
        <v>1+11,5128047781348i</v>
      </c>
      <c r="AH317" s="32">
        <f t="shared" si="289"/>
        <v>11.5561530735554</v>
      </c>
      <c r="AI317" s="32">
        <f t="shared" si="290"/>
        <v>1.48415397793595</v>
      </c>
      <c r="AJ317" s="32" t="str">
        <f t="shared" si="271"/>
        <v>1+0,0122803250966771i</v>
      </c>
      <c r="AK317" s="32">
        <f t="shared" si="291"/>
        <v>1.00007540034963</v>
      </c>
      <c r="AL317" s="32">
        <f t="shared" si="292"/>
        <v>0.0122797078353856</v>
      </c>
      <c r="AM317" s="32" t="str">
        <f t="shared" si="272"/>
        <v>1-0,137298208509834i</v>
      </c>
      <c r="AN317" s="32">
        <f t="shared" si="293"/>
        <v>1.00938139375561</v>
      </c>
      <c r="AO317" s="32">
        <f t="shared" si="294"/>
        <v>-0.136445109939384</v>
      </c>
      <c r="AP317" s="30" t="str">
        <f t="shared" si="295"/>
        <v>-0,247302176885923-6,58757961161908i</v>
      </c>
      <c r="AQ317" s="32">
        <f t="shared" si="296"/>
        <v>16.3806337478065</v>
      </c>
      <c r="AR317" s="31">
        <f t="shared" si="297"/>
        <v>-92.1499125853859</v>
      </c>
      <c r="AS317" t="str">
        <f t="shared" si="273"/>
        <v>-0,000338461538461538</v>
      </c>
      <c r="AT317" t="str">
        <f t="shared" si="274"/>
        <v>0,0107486001473686i</v>
      </c>
      <c r="AU317">
        <f t="shared" si="298"/>
        <v>0.0107486001473686</v>
      </c>
      <c r="AV317">
        <f t="shared" si="299"/>
        <v>1.5707963267949</v>
      </c>
      <c r="AW317" t="str">
        <f t="shared" si="275"/>
        <v>1+1,74445801276215i</v>
      </c>
      <c r="AX317">
        <f t="shared" si="300"/>
        <v>2.01075452462255</v>
      </c>
      <c r="AY317">
        <f t="shared" si="301"/>
        <v>1.05028276739889</v>
      </c>
      <c r="AZ317" t="str">
        <f t="shared" si="276"/>
        <v>1+15,2276031198796i</v>
      </c>
      <c r="BA317">
        <f t="shared" si="302"/>
        <v>15.2604029034809</v>
      </c>
      <c r="BB317">
        <f t="shared" si="303"/>
        <v>1.50522026898809</v>
      </c>
      <c r="BC317" s="30" t="str">
        <f t="shared" si="304"/>
        <v>-0,105009965585284+0,21467437060826i</v>
      </c>
      <c r="BD317" s="32">
        <f t="shared" si="305"/>
        <v>-12.4327127545331</v>
      </c>
      <c r="BE317" s="31">
        <f t="shared" si="306"/>
        <v>116.065998783287</v>
      </c>
      <c r="BF317" s="30" t="str">
        <f t="shared" si="307"/>
        <v>0,274795606952184-0,101962929264124i</v>
      </c>
      <c r="BG317" s="68">
        <f t="shared" si="308"/>
        <v>-10.6596100993017</v>
      </c>
      <c r="BH317" s="31">
        <f t="shared" si="309"/>
        <v>-20.3573754803304</v>
      </c>
      <c r="BI317" s="30" t="str">
        <f t="shared" si="316"/>
        <v>1,44015370004009+0,6386720691334i</v>
      </c>
      <c r="BJ317" s="68">
        <f t="shared" si="310"/>
        <v>3.94792099327337</v>
      </c>
      <c r="BK317" s="31">
        <f t="shared" si="317"/>
        <v>23.916086197901</v>
      </c>
      <c r="BL317" s="32">
        <f t="shared" si="311"/>
        <v>-10.6596100993017</v>
      </c>
      <c r="BM317" s="31">
        <f t="shared" si="312"/>
        <v>-20.3573754803304</v>
      </c>
      <c r="BO317">
        <f t="shared" si="313"/>
        <v>0</v>
      </c>
      <c r="BP317">
        <f t="shared" si="314"/>
        <v>0</v>
      </c>
    </row>
    <row r="318" spans="14:68">
      <c r="N318" s="7">
        <v>100</v>
      </c>
      <c r="O318" s="18">
        <f t="shared" si="315"/>
        <v>10000</v>
      </c>
      <c r="P318" s="86" t="str">
        <f t="shared" si="265"/>
        <v>15</v>
      </c>
      <c r="Q318" s="4" t="str">
        <f t="shared" si="266"/>
        <v>1+18,3259571459405i</v>
      </c>
      <c r="R318" s="4">
        <f t="shared" si="277"/>
        <v>18.3532205706477</v>
      </c>
      <c r="S318" s="4">
        <f t="shared" si="278"/>
        <v>1.51628298119114</v>
      </c>
      <c r="T318" s="4" t="str">
        <f t="shared" si="267"/>
        <v>1+0,0125663706143592i</v>
      </c>
      <c r="U318" s="4">
        <f t="shared" si="279"/>
        <v>1.00007895371836</v>
      </c>
      <c r="V318" s="4">
        <f t="shared" si="280"/>
        <v>0.0125657092097891</v>
      </c>
      <c r="W318" t="str">
        <f t="shared" si="268"/>
        <v>1-1,09955742875643i</v>
      </c>
      <c r="X318" s="4">
        <f t="shared" si="281"/>
        <v>1.48627942834901</v>
      </c>
      <c r="Y318" s="4">
        <f t="shared" si="282"/>
        <v>-0.832780964072332</v>
      </c>
      <c r="Z318" t="str">
        <f t="shared" si="269"/>
        <v>0,999288888888889+0,0583438635666675i</v>
      </c>
      <c r="AA318" s="4">
        <f t="shared" si="283"/>
        <v>1.00099065423843</v>
      </c>
      <c r="AB318" s="4">
        <f t="shared" si="284"/>
        <v>0.0583191750301428</v>
      </c>
      <c r="AC318" s="67" t="str">
        <f t="shared" si="285"/>
        <v>-0,890657319280442-0,824384440058468i</v>
      </c>
      <c r="AD318" s="68">
        <f t="shared" si="286"/>
        <v>1.68167413765011</v>
      </c>
      <c r="AE318" s="31">
        <f t="shared" si="287"/>
        <v>-137.212930359549</v>
      </c>
      <c r="AF318" s="32" t="str">
        <f t="shared" si="288"/>
        <v>75,4669735059805</v>
      </c>
      <c r="AG318" s="32" t="str">
        <f t="shared" si="270"/>
        <v>1+11,7809724509617i</v>
      </c>
      <c r="AH318" s="32">
        <f t="shared" si="289"/>
        <v>11.8233375952105</v>
      </c>
      <c r="AI318" s="32">
        <f t="shared" si="290"/>
        <v>1.48611667523947</v>
      </c>
      <c r="AJ318" s="32" t="str">
        <f t="shared" si="271"/>
        <v>1+0,0125663706143592i</v>
      </c>
      <c r="AK318" s="32">
        <f t="shared" si="291"/>
        <v>1.00007895371836</v>
      </c>
      <c r="AL318" s="32">
        <f t="shared" si="292"/>
        <v>0.0125657092097891</v>
      </c>
      <c r="AM318" s="32" t="str">
        <f t="shared" si="272"/>
        <v>1-0,140496294620815i</v>
      </c>
      <c r="AN318" s="32">
        <f t="shared" si="293"/>
        <v>1.00982137470058</v>
      </c>
      <c r="AO318" s="32">
        <f t="shared" si="294"/>
        <v>-0.139582662513496</v>
      </c>
      <c r="AP318" s="30" t="str">
        <f t="shared" si="295"/>
        <v>-0,272828111447998-6,44030372080052i</v>
      </c>
      <c r="AQ318" s="32">
        <f t="shared" si="296"/>
        <v>16.1859138037127</v>
      </c>
      <c r="AR318" s="31">
        <f t="shared" si="297"/>
        <v>-92.425748706148</v>
      </c>
      <c r="AS318" t="str">
        <f t="shared" si="273"/>
        <v>-0,000338461538461538</v>
      </c>
      <c r="AT318" t="str">
        <f t="shared" si="274"/>
        <v>0,0109989672076302i</v>
      </c>
      <c r="AU318">
        <f t="shared" si="298"/>
        <v>0.0109989672076302</v>
      </c>
      <c r="AV318">
        <f t="shared" si="299"/>
        <v>1.5707963267949</v>
      </c>
      <c r="AW318" t="str">
        <f t="shared" si="275"/>
        <v>1+1,78509165978752i</v>
      </c>
      <c r="AX318">
        <f t="shared" si="300"/>
        <v>2.04610660373377</v>
      </c>
      <c r="AY318">
        <f t="shared" si="301"/>
        <v>1.06015932390228</v>
      </c>
      <c r="AZ318" t="str">
        <f t="shared" si="276"/>
        <v>1+15,5822995618054i</v>
      </c>
      <c r="BA318">
        <f t="shared" si="302"/>
        <v>15.6143542816807</v>
      </c>
      <c r="BB318">
        <f t="shared" si="303"/>
        <v>1.50670883110866</v>
      </c>
      <c r="BC318" s="30" t="str">
        <f t="shared" si="304"/>
        <v>-0,101412645322478+0,211802987332349i</v>
      </c>
      <c r="BD318" s="32">
        <f t="shared" si="305"/>
        <v>-12.5849362209244</v>
      </c>
      <c r="BE318" s="31">
        <f t="shared" si="306"/>
        <v>115.585402106573</v>
      </c>
      <c r="BF318" s="30" t="str">
        <f t="shared" si="307"/>
        <v>0,264931001938746-0,105040874084i</v>
      </c>
      <c r="BG318" s="68">
        <f t="shared" si="308"/>
        <v>-10.9032620832743</v>
      </c>
      <c r="BH318" s="31">
        <f t="shared" si="309"/>
        <v>-21.6275282529767</v>
      </c>
      <c r="BI318" s="30" t="str">
        <f t="shared" si="316"/>
        <v>1,39174378789347+0,595342427973649i</v>
      </c>
      <c r="BJ318" s="68">
        <f t="shared" si="310"/>
        <v>3.60097758278828</v>
      </c>
      <c r="BK318" s="31">
        <f t="shared" si="317"/>
        <v>23.1596534004244</v>
      </c>
      <c r="BL318" s="32">
        <f t="shared" si="311"/>
        <v>-10.9032620832743</v>
      </c>
      <c r="BM318" s="31">
        <f t="shared" si="312"/>
        <v>-21.6275282529767</v>
      </c>
      <c r="BO318">
        <f t="shared" si="313"/>
        <v>0</v>
      </c>
      <c r="BP318">
        <f t="shared" si="314"/>
        <v>0</v>
      </c>
    </row>
    <row r="319" spans="14:68">
      <c r="N319" s="7">
        <v>1</v>
      </c>
      <c r="O319" s="18">
        <f>10^(4+(N319/100))</f>
        <v>10232.9299228075</v>
      </c>
      <c r="P319" s="86" t="str">
        <f t="shared" si="265"/>
        <v>15</v>
      </c>
      <c r="Q319" s="4" t="str">
        <f t="shared" si="266"/>
        <v>1+18,7528235242783i</v>
      </c>
      <c r="R319" s="4">
        <f t="shared" si="277"/>
        <v>18.7794672483733</v>
      </c>
      <c r="S319" s="4">
        <f t="shared" si="278"/>
        <v>1.5175214826108</v>
      </c>
      <c r="T319" s="4" t="str">
        <f t="shared" si="267"/>
        <v>1+0,0128590789880765i</v>
      </c>
      <c r="U319" s="4">
        <f t="shared" si="279"/>
        <v>1.00008267453867</v>
      </c>
      <c r="V319" s="4">
        <f t="shared" si="280"/>
        <v>0.0128583702834753</v>
      </c>
      <c r="W319" t="str">
        <f t="shared" si="268"/>
        <v>1-1,1251694114567i</v>
      </c>
      <c r="X319" s="4">
        <f t="shared" si="281"/>
        <v>1.50532594625809</v>
      </c>
      <c r="Y319" s="4">
        <f t="shared" si="282"/>
        <v>-0.844228754535319</v>
      </c>
      <c r="Z319" t="str">
        <f t="shared" si="269"/>
        <v>0,999255375254719+0,0597028667303552i</v>
      </c>
      <c r="AA319" s="4">
        <f t="shared" si="283"/>
        <v>1.00103733060824</v>
      </c>
      <c r="AB319" s="4">
        <f t="shared" si="284"/>
        <v>0.0596764136698781</v>
      </c>
      <c r="AC319" s="67" t="str">
        <f t="shared" si="285"/>
        <v>-0,892694928262735-0,803763635017i</v>
      </c>
      <c r="AD319" s="68">
        <f t="shared" si="286"/>
        <v>1.59248337723327</v>
      </c>
      <c r="AE319" s="31">
        <f t="shared" si="287"/>
        <v>-138.000797143595</v>
      </c>
      <c r="AF319" s="32" t="str">
        <f t="shared" si="288"/>
        <v>75,4669735059805</v>
      </c>
      <c r="AG319" s="32" t="str">
        <f t="shared" si="270"/>
        <v>1+12,0553865513218i</v>
      </c>
      <c r="AH319" s="32">
        <f t="shared" si="289"/>
        <v>12.096790686037</v>
      </c>
      <c r="AI319" s="32">
        <f t="shared" si="290"/>
        <v>1.48803532822306</v>
      </c>
      <c r="AJ319" s="32" t="str">
        <f t="shared" si="271"/>
        <v>1+0,0128590789880765i</v>
      </c>
      <c r="AK319" s="32">
        <f t="shared" si="291"/>
        <v>1.00008267453867</v>
      </c>
      <c r="AL319" s="32">
        <f t="shared" si="292"/>
        <v>0.0128583702834753</v>
      </c>
      <c r="AM319" s="32" t="str">
        <f t="shared" si="272"/>
        <v>1-0,143768873726892i</v>
      </c>
      <c r="AN319" s="32">
        <f t="shared" si="293"/>
        <v>1.01028188593714</v>
      </c>
      <c r="AO319" s="32">
        <f t="shared" si="294"/>
        <v>-0.142790436585459</v>
      </c>
      <c r="AP319" s="30" t="str">
        <f t="shared" si="295"/>
        <v>-0,297221261727169-6,29624880983494i</v>
      </c>
      <c r="AQ319" s="32">
        <f t="shared" si="296"/>
        <v>15.991304749648</v>
      </c>
      <c r="AR319" s="31">
        <f t="shared" si="297"/>
        <v>-92.702703096063</v>
      </c>
      <c r="AS319" t="str">
        <f t="shared" si="273"/>
        <v>-0,000338461538461538</v>
      </c>
      <c r="AT319" t="str">
        <f t="shared" si="274"/>
        <v>0,0112551660658938i</v>
      </c>
      <c r="AU319">
        <f t="shared" si="298"/>
        <v>0.0112551660658938</v>
      </c>
      <c r="AV319">
        <f t="shared" si="299"/>
        <v>1.5707963267949</v>
      </c>
      <c r="AW319" t="str">
        <f t="shared" si="275"/>
        <v>1+1,82667178603939i</v>
      </c>
      <c r="AX319">
        <f t="shared" si="300"/>
        <v>2.0824816479173</v>
      </c>
      <c r="AY319">
        <f t="shared" si="301"/>
        <v>1.06991782817644</v>
      </c>
      <c r="AZ319" t="str">
        <f t="shared" si="276"/>
        <v>1+15,9452579452149i</v>
      </c>
      <c r="BA319">
        <f t="shared" si="302"/>
        <v>15.9765844578696</v>
      </c>
      <c r="BB319">
        <f t="shared" si="303"/>
        <v>1.50816378428351</v>
      </c>
      <c r="BC319" s="30" t="str">
        <f t="shared" si="304"/>
        <v>-0,0979008043002154+0,208904298048369i</v>
      </c>
      <c r="BD319" s="32">
        <f t="shared" si="305"/>
        <v>-12.7387965262477</v>
      </c>
      <c r="BE319" s="31">
        <f t="shared" si="306"/>
        <v>115.109643673611</v>
      </c>
      <c r="BF319" s="30" t="str">
        <f t="shared" si="307"/>
        <v>0,255305229441677-0,107798701024637i</v>
      </c>
      <c r="BG319" s="68">
        <f t="shared" si="308"/>
        <v>-11.1463131490144</v>
      </c>
      <c r="BH319" s="31">
        <f t="shared" si="309"/>
        <v>-22.8911534699848</v>
      </c>
      <c r="BI319" s="30" t="str">
        <f t="shared" si="316"/>
        <v>1,34441163853466+0,55431702351095i</v>
      </c>
      <c r="BJ319" s="68">
        <f t="shared" si="310"/>
        <v>3.2525082234003</v>
      </c>
      <c r="BK319" s="31">
        <f t="shared" si="317"/>
        <v>22.4069405775476</v>
      </c>
      <c r="BL319" s="32">
        <f t="shared" si="311"/>
        <v>-11.1463131490144</v>
      </c>
      <c r="BM319" s="31">
        <f t="shared" si="312"/>
        <v>-22.8911534699848</v>
      </c>
      <c r="BO319">
        <f t="shared" si="313"/>
        <v>0</v>
      </c>
      <c r="BP319">
        <f t="shared" si="314"/>
        <v>0</v>
      </c>
    </row>
    <row r="320" spans="14:68">
      <c r="N320" s="7">
        <v>2</v>
      </c>
      <c r="O320" s="18">
        <f t="shared" ref="O320:O383" si="318">10^(4+(N320/100))</f>
        <v>10471.285480509</v>
      </c>
      <c r="P320" s="86" t="str">
        <f t="shared" si="265"/>
        <v>15</v>
      </c>
      <c r="Q320" s="4" t="str">
        <f t="shared" si="266"/>
        <v>1+19,1896328978717i</v>
      </c>
      <c r="R320" s="4">
        <f t="shared" si="277"/>
        <v>19.2156709681208</v>
      </c>
      <c r="S320" s="4">
        <f t="shared" si="278"/>
        <v>1.51873195039132</v>
      </c>
      <c r="T320" s="4" t="str">
        <f t="shared" si="267"/>
        <v>1+0,0131586054156834i</v>
      </c>
      <c r="U320" s="4">
        <f t="shared" si="279"/>
        <v>1.000086570701</v>
      </c>
      <c r="V320" s="4">
        <f t="shared" si="280"/>
        <v>0.0131578460285717</v>
      </c>
      <c r="W320" t="str">
        <f t="shared" si="268"/>
        <v>1-1,1513779738723i</v>
      </c>
      <c r="X320" s="4">
        <f t="shared" si="281"/>
        <v>1.52501516016015</v>
      </c>
      <c r="Y320" s="4">
        <f t="shared" si="282"/>
        <v>-0.855645647413943</v>
      </c>
      <c r="Z320" t="str">
        <f t="shared" si="269"/>
        <v>0,999220282171632+0,0610935251442443i</v>
      </c>
      <c r="AA320" s="4">
        <f t="shared" si="283"/>
        <v>1.00108620563751</v>
      </c>
      <c r="AB320" s="4">
        <f t="shared" si="284"/>
        <v>0.0610651815064868</v>
      </c>
      <c r="AC320" s="67" t="str">
        <f t="shared" si="285"/>
        <v>-0,894633435232914-0,783559172905437i</v>
      </c>
      <c r="AD320" s="68">
        <f t="shared" si="286"/>
        <v>1.50551969745787</v>
      </c>
      <c r="AE320" s="31">
        <f t="shared" si="287"/>
        <v>-138.786703455254</v>
      </c>
      <c r="AF320" s="32" t="str">
        <f t="shared" si="288"/>
        <v>75,4669735059805</v>
      </c>
      <c r="AG320" s="32" t="str">
        <f t="shared" si="270"/>
        <v>1+12,3361925772032i</v>
      </c>
      <c r="AH320" s="32">
        <f t="shared" si="289"/>
        <v>12.3766573557582</v>
      </c>
      <c r="AI320" s="32">
        <f t="shared" si="290"/>
        <v>1.4899108976465</v>
      </c>
      <c r="AJ320" s="32" t="str">
        <f t="shared" si="271"/>
        <v>1+0,0131586054156834i</v>
      </c>
      <c r="AK320" s="32">
        <f t="shared" si="291"/>
        <v>1.000086570701</v>
      </c>
      <c r="AL320" s="32">
        <f t="shared" si="292"/>
        <v>0.0131578460285717</v>
      </c>
      <c r="AM320" s="32" t="str">
        <f t="shared" si="272"/>
        <v>1-0,147117680992825i</v>
      </c>
      <c r="AN320" s="32">
        <f t="shared" si="293"/>
        <v>1.01076387552222</v>
      </c>
      <c r="AO320" s="32">
        <f t="shared" si="294"/>
        <v>-0.146069868762239</v>
      </c>
      <c r="AP320" s="30" t="str">
        <f t="shared" si="295"/>
        <v>-0,32053121142768-6,15535125628971i</v>
      </c>
      <c r="AQ320" s="32">
        <f t="shared" si="296"/>
        <v>15.7968174657104</v>
      </c>
      <c r="AR320" s="31">
        <f t="shared" si="297"/>
        <v>-92.9809042348782</v>
      </c>
      <c r="AS320" t="str">
        <f t="shared" si="273"/>
        <v>-0,000338461538461538</v>
      </c>
      <c r="AT320" t="str">
        <f t="shared" si="274"/>
        <v>0,0115173325621852i</v>
      </c>
      <c r="AU320">
        <f t="shared" si="298"/>
        <v>0.0115173325621852</v>
      </c>
      <c r="AV320">
        <f t="shared" si="299"/>
        <v>1.5707963267949</v>
      </c>
      <c r="AW320" t="str">
        <f t="shared" si="275"/>
        <v>1+1,86922043785108i</v>
      </c>
      <c r="AX320">
        <f t="shared" si="300"/>
        <v>2.11990213106176</v>
      </c>
      <c r="AY320">
        <f t="shared" si="301"/>
        <v>1.07955601928523</v>
      </c>
      <c r="AZ320" t="str">
        <f t="shared" si="276"/>
        <v>1+16,3166707154474i</v>
      </c>
      <c r="BA320">
        <f t="shared" si="302"/>
        <v>16.3472855005453</v>
      </c>
      <c r="BB320">
        <f t="shared" si="303"/>
        <v>1.5095858752944</v>
      </c>
      <c r="BC320" s="30" t="str">
        <f t="shared" si="304"/>
        <v>-0,0944750221767314+0,205981788746887i</v>
      </c>
      <c r="BD320" s="32">
        <f t="shared" si="305"/>
        <v>-12.8942549396814</v>
      </c>
      <c r="BE320" s="31">
        <f t="shared" si="306"/>
        <v>114.638895813944</v>
      </c>
      <c r="BF320" s="30" t="str">
        <f t="shared" si="307"/>
        <v>0,245919433657768-0,110251425025025i</v>
      </c>
      <c r="BG320" s="68">
        <f t="shared" si="308"/>
        <v>-11.3887352422236</v>
      </c>
      <c r="BH320" s="31">
        <f t="shared" si="309"/>
        <v>-24.1478076413102</v>
      </c>
      <c r="BI320" s="30" t="str">
        <f t="shared" si="316"/>
        <v>1,29817245544392+0,515503354164462i</v>
      </c>
      <c r="BJ320" s="68">
        <f t="shared" si="310"/>
        <v>2.90256252602898</v>
      </c>
      <c r="BK320" s="31">
        <f t="shared" si="317"/>
        <v>21.6579915790657</v>
      </c>
      <c r="BL320" s="32">
        <f t="shared" si="311"/>
        <v>-11.3887352422236</v>
      </c>
      <c r="BM320" s="31">
        <f t="shared" si="312"/>
        <v>-24.1478076413102</v>
      </c>
      <c r="BO320">
        <f t="shared" si="313"/>
        <v>0</v>
      </c>
      <c r="BP320">
        <f t="shared" si="314"/>
        <v>0</v>
      </c>
    </row>
    <row r="321" spans="14:68">
      <c r="N321" s="7">
        <v>3</v>
      </c>
      <c r="O321" s="18">
        <f t="shared" si="318"/>
        <v>10715.1930523761</v>
      </c>
      <c r="P321" s="86" t="str">
        <f t="shared" si="265"/>
        <v>15</v>
      </c>
      <c r="Q321" s="4" t="str">
        <f t="shared" si="266"/>
        <v>1+19,6366168688323i</v>
      </c>
      <c r="R321" s="4">
        <f t="shared" si="277"/>
        <v>19.6620630162074</v>
      </c>
      <c r="S321" s="4">
        <f t="shared" si="278"/>
        <v>1.51991501214175</v>
      </c>
      <c r="T321" s="4" t="str">
        <f t="shared" si="267"/>
        <v>1+0,0134651087100564i</v>
      </c>
      <c r="U321" s="4">
        <f t="shared" si="279"/>
        <v>1.00009065046753</v>
      </c>
      <c r="V321" s="4">
        <f t="shared" si="280"/>
        <v>0.0134642950160895</v>
      </c>
      <c r="W321" t="str">
        <f t="shared" si="268"/>
        <v>1-1,17819701212994i</v>
      </c>
      <c r="X321" s="4">
        <f t="shared" si="281"/>
        <v>1.54536345219884</v>
      </c>
      <c r="Y321" s="4">
        <f t="shared" si="282"/>
        <v>-0.867025791897019</v>
      </c>
      <c r="Z321" t="str">
        <f t="shared" si="269"/>
        <v>0,999183535202491+0,0625165761538332i</v>
      </c>
      <c r="AA321" s="4">
        <f t="shared" si="283"/>
        <v>1.00113738283701</v>
      </c>
      <c r="AB321" s="4">
        <f t="shared" si="284"/>
        <v>0.0624862068877896</v>
      </c>
      <c r="AC321" s="67" t="str">
        <f t="shared" si="285"/>
        <v>-0,896476882719044-0,76376104084112i</v>
      </c>
      <c r="AD321" s="68">
        <f t="shared" si="286"/>
        <v>1.42077002377454</v>
      </c>
      <c r="AE321" s="31">
        <f t="shared" si="287"/>
        <v>-139.570382672895</v>
      </c>
      <c r="AF321" s="32" t="str">
        <f t="shared" si="288"/>
        <v>75,4669735059805</v>
      </c>
      <c r="AG321" s="32" t="str">
        <f t="shared" si="270"/>
        <v>1+12,6235394156779i</v>
      </c>
      <c r="AH321" s="32">
        <f t="shared" si="289"/>
        <v>12.6630860132581</v>
      </c>
      <c r="AI321" s="32">
        <f t="shared" si="290"/>
        <v>1.49174432514969</v>
      </c>
      <c r="AJ321" s="32" t="str">
        <f t="shared" si="271"/>
        <v>1+0,0134651087100564i</v>
      </c>
      <c r="AK321" s="32">
        <f t="shared" si="291"/>
        <v>1.00009065046753</v>
      </c>
      <c r="AL321" s="32">
        <f t="shared" si="292"/>
        <v>0.0134642950160895</v>
      </c>
      <c r="AM321" s="32" t="str">
        <f t="shared" si="272"/>
        <v>1-0,150544492000553i</v>
      </c>
      <c r="AN321" s="32">
        <f t="shared" si="293"/>
        <v>1.01126833435627</v>
      </c>
      <c r="AO321" s="32">
        <f t="shared" si="294"/>
        <v>-0.149422415541444</v>
      </c>
      <c r="AP321" s="30" t="str">
        <f t="shared" si="295"/>
        <v>-0,342805433989417-6,01754827912613i</v>
      </c>
      <c r="AQ321" s="32">
        <f t="shared" si="296"/>
        <v>15.6024630494893</v>
      </c>
      <c r="AR321" s="31">
        <f t="shared" si="297"/>
        <v>-93.2604804403021</v>
      </c>
      <c r="AS321" t="str">
        <f t="shared" si="273"/>
        <v>-0,000338461538461538</v>
      </c>
      <c r="AT321" t="str">
        <f t="shared" si="274"/>
        <v>0,0117856057006511i</v>
      </c>
      <c r="AU321">
        <f t="shared" si="298"/>
        <v>0.0117856057006511</v>
      </c>
      <c r="AV321">
        <f t="shared" si="299"/>
        <v>1.5707963267949</v>
      </c>
      <c r="AW321" t="str">
        <f t="shared" si="275"/>
        <v>1+1,91276017508097i</v>
      </c>
      <c r="AX321">
        <f t="shared" si="300"/>
        <v>2.15839094868742</v>
      </c>
      <c r="AY321">
        <f t="shared" si="301"/>
        <v>1.08907184404125</v>
      </c>
      <c r="AZ321" t="str">
        <f t="shared" si="276"/>
        <v>1+16,69673480047i</v>
      </c>
      <c r="BA321">
        <f t="shared" si="302"/>
        <v>16.726653968957</v>
      </c>
      <c r="BB321">
        <f t="shared" si="303"/>
        <v>1.51097583513216</v>
      </c>
      <c r="BC321" s="30" t="str">
        <f t="shared" si="304"/>
        <v>-0,0911356726222728+0,203038898427935i</v>
      </c>
      <c r="BD321" s="32">
        <f t="shared" si="305"/>
        <v>-13.0512724317336</v>
      </c>
      <c r="BE321" s="31">
        <f t="shared" si="306"/>
        <v>114.173318049234</v>
      </c>
      <c r="BF321" s="30" t="str">
        <f t="shared" si="307"/>
        <v>0,236774224091473-0,112413802553641i</v>
      </c>
      <c r="BG321" s="68">
        <f t="shared" si="308"/>
        <v>-11.6305024079591</v>
      </c>
      <c r="BH321" s="31">
        <f t="shared" si="309"/>
        <v>-25.3970646236614</v>
      </c>
      <c r="BI321" s="30" t="str">
        <f t="shared" si="316"/>
        <v>1,25303817763588+0,478810472262839i</v>
      </c>
      <c r="BJ321" s="68">
        <f t="shared" si="310"/>
        <v>2.55119061775565</v>
      </c>
      <c r="BK321" s="31">
        <f t="shared" si="317"/>
        <v>20.9128376089318</v>
      </c>
      <c r="BL321" s="32">
        <f t="shared" si="311"/>
        <v>-11.6305024079591</v>
      </c>
      <c r="BM321" s="31">
        <f t="shared" si="312"/>
        <v>-25.3970646236614</v>
      </c>
      <c r="BO321">
        <f t="shared" si="313"/>
        <v>0</v>
      </c>
      <c r="BP321">
        <f t="shared" si="314"/>
        <v>0</v>
      </c>
    </row>
    <row r="322" spans="14:68">
      <c r="N322" s="7">
        <v>4</v>
      </c>
      <c r="O322" s="18">
        <f t="shared" si="318"/>
        <v>10964.7819614319</v>
      </c>
      <c r="P322" s="86" t="str">
        <f t="shared" si="265"/>
        <v>15</v>
      </c>
      <c r="Q322" s="4" t="str">
        <f t="shared" si="266"/>
        <v>1+20,0940124339781i</v>
      </c>
      <c r="R322" s="4">
        <f t="shared" si="277"/>
        <v>20.1188800805827</v>
      </c>
      <c r="S322" s="4">
        <f t="shared" si="278"/>
        <v>1.52107128188273</v>
      </c>
      <c r="T322" s="4" t="str">
        <f t="shared" si="267"/>
        <v>1+0,0137787513832993i</v>
      </c>
      <c r="U322" s="4">
        <f t="shared" si="279"/>
        <v>1.0000949224897</v>
      </c>
      <c r="V322" s="4">
        <f t="shared" si="280"/>
        <v>0.0137778794989746</v>
      </c>
      <c r="W322" t="str">
        <f t="shared" si="268"/>
        <v>1-1,20564074603869i</v>
      </c>
      <c r="X322" s="4">
        <f t="shared" si="281"/>
        <v>1.566387438825</v>
      </c>
      <c r="Y322" s="4">
        <f t="shared" si="282"/>
        <v>-0.878363432220679</v>
      </c>
      <c r="Z322" t="str">
        <f t="shared" si="269"/>
        <v>0,99914505640205+0,0639727742796036i</v>
      </c>
      <c r="AA322" s="4">
        <f t="shared" si="283"/>
        <v>1.00119097058537</v>
      </c>
      <c r="AB322" s="4">
        <f t="shared" si="284"/>
        <v>0.0639402346952214</v>
      </c>
      <c r="AC322" s="67" t="str">
        <f t="shared" si="285"/>
        <v>-0,898229118069982-0,744359398467937i</v>
      </c>
      <c r="AD322" s="68">
        <f t="shared" si="286"/>
        <v>1.33821893970887</v>
      </c>
      <c r="AE322" s="31">
        <f t="shared" si="287"/>
        <v>-140.351573578486</v>
      </c>
      <c r="AF322" s="32" t="str">
        <f t="shared" si="288"/>
        <v>75,4669735059805</v>
      </c>
      <c r="AG322" s="32" t="str">
        <f t="shared" si="270"/>
        <v>1+12,9175794218431i</v>
      </c>
      <c r="AH322" s="32">
        <f t="shared" si="289"/>
        <v>12.9562285453609</v>
      </c>
      <c r="AI322" s="32">
        <f t="shared" si="290"/>
        <v>1.49353653350878</v>
      </c>
      <c r="AJ322" s="32" t="str">
        <f t="shared" si="271"/>
        <v>1+0,0137787513832993i</v>
      </c>
      <c r="AK322" s="32">
        <f t="shared" si="291"/>
        <v>1.0000949224897</v>
      </c>
      <c r="AL322" s="32">
        <f t="shared" si="292"/>
        <v>0.0137778794989746</v>
      </c>
      <c r="AM322" s="32" t="str">
        <f t="shared" si="272"/>
        <v>1-0,154051123690632i</v>
      </c>
      <c r="AN322" s="32">
        <f t="shared" si="293"/>
        <v>1.01179629803155</v>
      </c>
      <c r="AO322" s="32">
        <f t="shared" si="294"/>
        <v>-0.152849552882053</v>
      </c>
      <c r="AP322" s="30" t="str">
        <f t="shared" si="295"/>
        <v>-0,364089377117625-5,88277795897219i</v>
      </c>
      <c r="AQ322" s="32">
        <f t="shared" si="296"/>
        <v>15.4082528348714</v>
      </c>
      <c r="AR322" s="31">
        <f t="shared" si="297"/>
        <v>-93.5415598533243</v>
      </c>
      <c r="AS322" t="str">
        <f t="shared" si="273"/>
        <v>-0,000338461538461538</v>
      </c>
      <c r="AT322" t="str">
        <f t="shared" si="274"/>
        <v>0,0120601277232604i</v>
      </c>
      <c r="AU322">
        <f t="shared" si="298"/>
        <v>0.0120601277232604</v>
      </c>
      <c r="AV322">
        <f t="shared" si="299"/>
        <v>1.5707963267949</v>
      </c>
      <c r="AW322" t="str">
        <f t="shared" si="275"/>
        <v>1+1,95731408307407i</v>
      </c>
      <c r="AX322">
        <f t="shared" si="300"/>
        <v>2.1979714328899</v>
      </c>
      <c r="AY322">
        <f t="shared" si="301"/>
        <v>1.09846345368926</v>
      </c>
      <c r="AZ322" t="str">
        <f t="shared" si="276"/>
        <v>1+17,0856517152911i</v>
      </c>
      <c r="BA322">
        <f t="shared" si="302"/>
        <v>17.1148910173635</v>
      </c>
      <c r="BB322">
        <f t="shared" si="303"/>
        <v>1.51233437927667</v>
      </c>
      <c r="BC322" s="30" t="str">
        <f t="shared" si="304"/>
        <v>-0,0878829321160786+0,200079007655429i</v>
      </c>
      <c r="BD322" s="32">
        <f t="shared" si="305"/>
        <v>-13.2098097724776</v>
      </c>
      <c r="BE322" s="31">
        <f t="shared" si="306"/>
        <v>113.713057299332</v>
      </c>
      <c r="BF322" s="30" t="str">
        <f t="shared" si="307"/>
        <v>0,227869698392486-0,11430030410513i</v>
      </c>
      <c r="BG322" s="68">
        <f t="shared" si="308"/>
        <v>-11.8715908327687</v>
      </c>
      <c r="BH322" s="31">
        <f t="shared" si="309"/>
        <v>-26.6385162791538</v>
      </c>
      <c r="BI322" s="30" t="str">
        <f t="shared" si="316"/>
        <v>1,2090176183018+0,444149134750739i</v>
      </c>
      <c r="BJ322" s="68">
        <f t="shared" si="310"/>
        <v>2.19844306239386</v>
      </c>
      <c r="BK322" s="31">
        <f t="shared" si="317"/>
        <v>20.1714974460076</v>
      </c>
      <c r="BL322" s="32">
        <f t="shared" si="311"/>
        <v>-11.8715908327687</v>
      </c>
      <c r="BM322" s="31">
        <f t="shared" si="312"/>
        <v>-26.6385162791538</v>
      </c>
      <c r="BO322">
        <f t="shared" si="313"/>
        <v>0</v>
      </c>
      <c r="BP322">
        <f t="shared" si="314"/>
        <v>0</v>
      </c>
    </row>
    <row r="323" spans="14:68">
      <c r="N323" s="7">
        <v>5</v>
      </c>
      <c r="O323" s="18">
        <f t="shared" si="318"/>
        <v>11220.1845430196</v>
      </c>
      <c r="P323" s="86" t="str">
        <f t="shared" si="265"/>
        <v>15</v>
      </c>
      <c r="Q323" s="4" t="str">
        <f t="shared" si="266"/>
        <v>1+20,5620621104921i</v>
      </c>
      <c r="R323" s="4">
        <f t="shared" si="277"/>
        <v>20.5863643763471</v>
      </c>
      <c r="S323" s="4">
        <f t="shared" si="278"/>
        <v>1.52220136030968</v>
      </c>
      <c r="T323" s="4" t="str">
        <f t="shared" si="267"/>
        <v>1+0,0140996997329089i</v>
      </c>
      <c r="U323" s="4">
        <f t="shared" si="279"/>
        <v>1.00009939582651</v>
      </c>
      <c r="V323" s="4">
        <f t="shared" si="280"/>
        <v>0.0140987654970377</v>
      </c>
      <c r="W323" t="str">
        <f t="shared" si="268"/>
        <v>1-1,23372372662953i</v>
      </c>
      <c r="X323" s="4">
        <f t="shared" si="281"/>
        <v>1.5881039744452</v>
      </c>
      <c r="Y323" s="4">
        <f t="shared" si="282"/>
        <v>-0.889652921636861</v>
      </c>
      <c r="Z323" t="str">
        <f t="shared" si="269"/>
        <v>0,999104764151613+0,0654628916170769i</v>
      </c>
      <c r="AA323" s="4">
        <f t="shared" si="283"/>
        <v>1.00124708235746</v>
      </c>
      <c r="AB323" s="4">
        <f t="shared" si="284"/>
        <v>0.0654280266982785</v>
      </c>
      <c r="AC323" s="67" t="str">
        <f t="shared" si="285"/>
        <v>-0,89989380108976-0,72534457580158i</v>
      </c>
      <c r="AD323" s="68">
        <f t="shared" si="286"/>
        <v>1.25784875145393</v>
      </c>
      <c r="AE323" s="31">
        <f t="shared" si="287"/>
        <v>-141.130021188448</v>
      </c>
      <c r="AF323" s="32" t="str">
        <f t="shared" si="288"/>
        <v>75,4669735059805</v>
      </c>
      <c r="AG323" s="32" t="str">
        <f t="shared" si="270"/>
        <v>1+13,2184684996021i</v>
      </c>
      <c r="AH323" s="32">
        <f t="shared" si="289"/>
        <v>13.2562403974495</v>
      </c>
      <c r="AI323" s="32">
        <f t="shared" si="290"/>
        <v>1.49528842689789</v>
      </c>
      <c r="AJ323" s="32" t="str">
        <f t="shared" si="271"/>
        <v>1+0,0140996997329089i</v>
      </c>
      <c r="AK323" s="32">
        <f t="shared" si="291"/>
        <v>1.00009939582651</v>
      </c>
      <c r="AL323" s="32">
        <f t="shared" si="292"/>
        <v>0.0140987654970377</v>
      </c>
      <c r="AM323" s="32" t="str">
        <f t="shared" si="272"/>
        <v>1-0,1576394353256i</v>
      </c>
      <c r="AN323" s="32">
        <f t="shared" si="293"/>
        <v>1.01234884875214</v>
      </c>
      <c r="AO323" s="32">
        <f t="shared" si="294"/>
        <v>-0.156352775710339</v>
      </c>
      <c r="AP323" s="30" t="str">
        <f t="shared" si="295"/>
        <v>-0,384426544398086-5,75097925549212i</v>
      </c>
      <c r="AQ323" s="32">
        <f t="shared" si="296"/>
        <v>15.2141984110037</v>
      </c>
      <c r="AR323" s="31">
        <f t="shared" si="297"/>
        <v>-93.8242704200385</v>
      </c>
      <c r="AS323" t="str">
        <f t="shared" si="273"/>
        <v>-0,000338461538461538</v>
      </c>
      <c r="AT323" t="str">
        <f t="shared" si="274"/>
        <v>0,0123410441852232i</v>
      </c>
      <c r="AU323">
        <f t="shared" si="298"/>
        <v>0.0123410441852232</v>
      </c>
      <c r="AV323">
        <f t="shared" si="299"/>
        <v>1.5707963267949</v>
      </c>
      <c r="AW323" t="str">
        <f t="shared" si="275"/>
        <v>1+2,00290578490212i</v>
      </c>
      <c r="AX323">
        <f t="shared" si="300"/>
        <v>2.23866736769766</v>
      </c>
      <c r="AY323">
        <f t="shared" si="301"/>
        <v>1.10772920000666</v>
      </c>
      <c r="AZ323" t="str">
        <f t="shared" si="276"/>
        <v>1+17,483627668807i</v>
      </c>
      <c r="BA323">
        <f t="shared" si="302"/>
        <v>17.5122025017264</v>
      </c>
      <c r="BB323">
        <f t="shared" si="303"/>
        <v>1.51366220797561</v>
      </c>
      <c r="BC323" s="30" t="str">
        <f t="shared" si="304"/>
        <v>-0,0847167892864394+0,197105428131952i</v>
      </c>
      <c r="BD323" s="32">
        <f t="shared" si="305"/>
        <v>-13.369827625373</v>
      </c>
      <c r="BE323" s="31">
        <f t="shared" si="306"/>
        <v>113.258248121671</v>
      </c>
      <c r="BF323" s="30" t="str">
        <f t="shared" si="307"/>
        <v>0,219205466683654-0,115925089348843i</v>
      </c>
      <c r="BG323" s="68">
        <f t="shared" si="308"/>
        <v>-12.111978873919</v>
      </c>
      <c r="BH323" s="31">
        <f t="shared" si="309"/>
        <v>-27.8717730667771</v>
      </c>
      <c r="BI323" s="30" t="str">
        <f t="shared" si="316"/>
        <v>1,16611661088964+0,411431939159338i</v>
      </c>
      <c r="BJ323" s="68">
        <f t="shared" si="310"/>
        <v>1.84437078563079</v>
      </c>
      <c r="BK323" s="31">
        <f t="shared" si="317"/>
        <v>19.4339777016325</v>
      </c>
      <c r="BL323" s="32">
        <f t="shared" si="311"/>
        <v>-12.111978873919</v>
      </c>
      <c r="BM323" s="31">
        <f t="shared" si="312"/>
        <v>-27.8717730667771</v>
      </c>
      <c r="BO323">
        <f t="shared" si="313"/>
        <v>0</v>
      </c>
      <c r="BP323">
        <f t="shared" si="314"/>
        <v>0</v>
      </c>
    </row>
    <row r="324" spans="14:68">
      <c r="N324" s="7">
        <v>6</v>
      </c>
      <c r="O324" s="18">
        <f t="shared" si="318"/>
        <v>11481.5362149688</v>
      </c>
      <c r="P324" s="86" t="str">
        <f t="shared" si="265"/>
        <v>15</v>
      </c>
      <c r="Q324" s="4" t="str">
        <f t="shared" si="266"/>
        <v>1+21,0410140645082i</v>
      </c>
      <c r="R324" s="4">
        <f t="shared" si="277"/>
        <v>21.0647637741996</v>
      </c>
      <c r="S324" s="4">
        <f t="shared" si="278"/>
        <v>1.52330583505299</v>
      </c>
      <c r="T324" s="4" t="str">
        <f t="shared" si="267"/>
        <v>1+0,0144281239299485i</v>
      </c>
      <c r="U324" s="4">
        <f t="shared" si="279"/>
        <v>1.00010407996375</v>
      </c>
      <c r="V324" s="4">
        <f t="shared" si="280"/>
        <v>0.0144271228838034</v>
      </c>
      <c r="W324" t="str">
        <f t="shared" si="268"/>
        <v>1-1,26246084387049i</v>
      </c>
      <c r="X324" s="4">
        <f t="shared" si="281"/>
        <v>1.61053015566496</v>
      </c>
      <c r="Y324" s="4">
        <f t="shared" si="282"/>
        <v>-0.900888735710534</v>
      </c>
      <c r="Z324" t="str">
        <f t="shared" si="269"/>
        <v>0,999062572985915+0,0669877182461893i</v>
      </c>
      <c r="AA324" s="4">
        <f t="shared" si="283"/>
        <v>1.00130583696345</v>
      </c>
      <c r="AB324" s="4">
        <f t="shared" si="284"/>
        <v>0.0669503619150526</v>
      </c>
      <c r="AC324" s="67" t="str">
        <f t="shared" si="285"/>
        <v>-0,90147441132348-0,706707070982318i</v>
      </c>
      <c r="AD324" s="68">
        <f t="shared" si="286"/>
        <v>1.17963956040488</v>
      </c>
      <c r="AE324" s="31">
        <f t="shared" si="287"/>
        <v>-141.905477546126</v>
      </c>
      <c r="AF324" s="32" t="str">
        <f t="shared" si="288"/>
        <v>75,4669735059805</v>
      </c>
      <c r="AG324" s="32" t="str">
        <f t="shared" si="270"/>
        <v>1+13,5263661843267i</v>
      </c>
      <c r="AH324" s="32">
        <f t="shared" si="289"/>
        <v>13.5632806559658</v>
      </c>
      <c r="AI324" s="32">
        <f t="shared" si="290"/>
        <v>1.49700089115574</v>
      </c>
      <c r="AJ324" s="32" t="str">
        <f t="shared" si="271"/>
        <v>1+0,0144281239299485i</v>
      </c>
      <c r="AK324" s="32">
        <f t="shared" si="291"/>
        <v>1.00010407996375</v>
      </c>
      <c r="AL324" s="32">
        <f t="shared" si="292"/>
        <v>0.0144271228838034</v>
      </c>
      <c r="AM324" s="32" t="str">
        <f t="shared" si="272"/>
        <v>1-0,161311329475781i</v>
      </c>
      <c r="AN324" s="32">
        <f t="shared" si="293"/>
        <v>1.01292711732742</v>
      </c>
      <c r="AO324" s="32">
        <f t="shared" si="294"/>
        <v>-0.159933597356553</v>
      </c>
      <c r="AP324" s="30" t="str">
        <f t="shared" si="295"/>
        <v>-0,403858574054189-5,62209202206381i</v>
      </c>
      <c r="AQ324" s="32">
        <f t="shared" si="296"/>
        <v>15.0203116414175</v>
      </c>
      <c r="AR324" s="31">
        <f t="shared" si="297"/>
        <v>-94.1087398696636</v>
      </c>
      <c r="AS324" t="str">
        <f t="shared" si="273"/>
        <v>-0,000338461538461538</v>
      </c>
      <c r="AT324" t="str">
        <f t="shared" si="274"/>
        <v>0,012628504032166i</v>
      </c>
      <c r="AU324">
        <f t="shared" si="298"/>
        <v>0.012628504032166</v>
      </c>
      <c r="AV324">
        <f t="shared" si="299"/>
        <v>1.5707963267949</v>
      </c>
      <c r="AW324" t="str">
        <f t="shared" si="275"/>
        <v>1+2,04955945388892i</v>
      </c>
      <c r="AX324">
        <f t="shared" si="300"/>
        <v>2.2805030048271</v>
      </c>
      <c r="AY324">
        <f t="shared" si="301"/>
        <v>1.11686763087662</v>
      </c>
      <c r="AZ324" t="str">
        <f t="shared" si="276"/>
        <v>1+17,8908736731361i</v>
      </c>
      <c r="BA324">
        <f t="shared" si="302"/>
        <v>17.918799088893</v>
      </c>
      <c r="BB324">
        <f t="shared" si="303"/>
        <v>1.51496000652164</v>
      </c>
      <c r="BC324" s="30" t="str">
        <f t="shared" si="304"/>
        <v>-0,0816370546866115+0,1941213933004i</v>
      </c>
      <c r="BD324" s="32">
        <f t="shared" si="305"/>
        <v>-13.5312866364496</v>
      </c>
      <c r="BE324" s="31">
        <f t="shared" si="306"/>
        <v>112.809012980797</v>
      </c>
      <c r="BF324" s="30" t="str">
        <f t="shared" si="307"/>
        <v>0,210780677090128-0,117301984949573i</v>
      </c>
      <c r="BG324" s="68">
        <f t="shared" si="308"/>
        <v>-12.3516470760448</v>
      </c>
      <c r="BH324" s="31">
        <f t="shared" si="309"/>
        <v>-29.096464565329</v>
      </c>
      <c r="BI324" s="30" t="str">
        <f t="shared" si="316"/>
        <v>1,12433816108181+0,380573444766674i</v>
      </c>
      <c r="BJ324" s="68">
        <f t="shared" si="310"/>
        <v>1.48902500496791</v>
      </c>
      <c r="BK324" s="31">
        <f t="shared" si="317"/>
        <v>18.700273111133</v>
      </c>
      <c r="BL324" s="32">
        <f t="shared" si="311"/>
        <v>-12.3516470760448</v>
      </c>
      <c r="BM324" s="31">
        <f t="shared" si="312"/>
        <v>-29.096464565329</v>
      </c>
      <c r="BO324">
        <f t="shared" si="313"/>
        <v>0</v>
      </c>
      <c r="BP324">
        <f t="shared" si="314"/>
        <v>0</v>
      </c>
    </row>
    <row r="325" spans="14:68">
      <c r="N325" s="7">
        <v>7</v>
      </c>
      <c r="O325" s="18">
        <f t="shared" si="318"/>
        <v>11748.9755493953</v>
      </c>
      <c r="P325" s="86" t="str">
        <f t="shared" si="265"/>
        <v>15</v>
      </c>
      <c r="Q325" s="4" t="str">
        <f t="shared" si="266"/>
        <v>1+21,5311222426921i</v>
      </c>
      <c r="R325" s="4">
        <f t="shared" si="277"/>
        <v>21.5543319318821</v>
      </c>
      <c r="S325" s="4">
        <f t="shared" si="278"/>
        <v>1.52438528093521</v>
      </c>
      <c r="T325" s="4" t="str">
        <f t="shared" si="267"/>
        <v>1+0,0147641981092746i</v>
      </c>
      <c r="U325" s="4">
        <f t="shared" si="279"/>
        <v>1.00010898483406</v>
      </c>
      <c r="V325" s="4">
        <f t="shared" si="280"/>
        <v>0.0147631254753176</v>
      </c>
      <c r="W325" t="str">
        <f t="shared" si="268"/>
        <v>1-1,29186733456153i</v>
      </c>
      <c r="X325" s="4">
        <f t="shared" si="281"/>
        <v>1.63368332613977</v>
      </c>
      <c r="Y325" s="4">
        <f t="shared" si="282"/>
        <v>-0.912065484874533</v>
      </c>
      <c r="Z325" t="str">
        <f t="shared" si="269"/>
        <v>0,999018393411838+0,0685480626502032i</v>
      </c>
      <c r="AA325" s="4">
        <f t="shared" si="283"/>
        <v>1.00136735879909</v>
      </c>
      <c r="AB325" s="4">
        <f t="shared" si="284"/>
        <v>0.0685080369788446</v>
      </c>
      <c r="AC325" s="67" t="str">
        <f t="shared" si="285"/>
        <v>-0,902974255006266-0,688437547946914i</v>
      </c>
      <c r="AD325" s="68">
        <f t="shared" si="286"/>
        <v>1.10356934302677</v>
      </c>
      <c r="AE325" s="31">
        <f t="shared" si="287"/>
        <v>-142.677702471771</v>
      </c>
      <c r="AF325" s="32" t="str">
        <f t="shared" si="288"/>
        <v>75,4669735059805</v>
      </c>
      <c r="AG325" s="32" t="str">
        <f t="shared" si="270"/>
        <v>1+13,8414357274449i</v>
      </c>
      <c r="AH325" s="32">
        <f t="shared" si="289"/>
        <v>13.8775121328352</v>
      </c>
      <c r="AI325" s="32">
        <f t="shared" si="290"/>
        <v>1.49867479405617</v>
      </c>
      <c r="AJ325" s="32" t="str">
        <f t="shared" si="271"/>
        <v>1+0,0147641981092746i</v>
      </c>
      <c r="AK325" s="32">
        <f t="shared" si="291"/>
        <v>1.00010898483406</v>
      </c>
      <c r="AL325" s="32">
        <f t="shared" si="292"/>
        <v>0.0147631254753176</v>
      </c>
      <c r="AM325" s="32" t="str">
        <f t="shared" si="272"/>
        <v>1-0,165068753028059i</v>
      </c>
      <c r="AN325" s="32">
        <f t="shared" si="293"/>
        <v>1.01353228524119</v>
      </c>
      <c r="AO325" s="32">
        <f t="shared" si="294"/>
        <v>-0.163593548917792</v>
      </c>
      <c r="AP325" s="30" t="str">
        <f t="shared" si="295"/>
        <v>-0,422425314906334-5,4960570179624i</v>
      </c>
      <c r="AQ325" s="32">
        <f t="shared" si="296"/>
        <v>14.8266046833166</v>
      </c>
      <c r="AR325" s="31">
        <f t="shared" si="297"/>
        <v>-94.3950956884548</v>
      </c>
      <c r="AS325" t="str">
        <f t="shared" si="273"/>
        <v>-0,000338461538461538</v>
      </c>
      <c r="AT325" t="str">
        <f t="shared" si="274"/>
        <v>0,0129226596791048i</v>
      </c>
      <c r="AU325">
        <f t="shared" si="298"/>
        <v>0.0129226596791048</v>
      </c>
      <c r="AV325">
        <f t="shared" si="299"/>
        <v>1.5707963267949</v>
      </c>
      <c r="AW325" t="str">
        <f t="shared" si="275"/>
        <v>1+2,09729982642731i</v>
      </c>
      <c r="AX325">
        <f t="shared" si="300"/>
        <v>2.32350307981978</v>
      </c>
      <c r="AY325">
        <f t="shared" si="301"/>
        <v>1.12587748538904</v>
      </c>
      <c r="AZ325" t="str">
        <f t="shared" si="276"/>
        <v>1+18,3076056555005i</v>
      </c>
      <c r="BA325">
        <f t="shared" si="302"/>
        <v>18.3348963683276</v>
      </c>
      <c r="BB325">
        <f t="shared" si="303"/>
        <v>1.516228445528</v>
      </c>
      <c r="BC325" s="30" t="str">
        <f t="shared" si="304"/>
        <v>-0,078643370903574+0,191130049968492i</v>
      </c>
      <c r="BD325" s="32">
        <f t="shared" si="305"/>
        <v>-13.6941475186762</v>
      </c>
      <c r="BE325" s="31">
        <f t="shared" si="306"/>
        <v>112.365462544842</v>
      </c>
      <c r="BF325" s="30" t="str">
        <f t="shared" si="307"/>
        <v>0,202594042192116-0,118444465052473i</v>
      </c>
      <c r="BG325" s="68">
        <f t="shared" si="308"/>
        <v>-12.5905781756495</v>
      </c>
      <c r="BH325" s="31">
        <f t="shared" si="309"/>
        <v>-30.3122399269295</v>
      </c>
      <c r="BI325" s="30" t="str">
        <f t="shared" si="316"/>
        <v>1,08368260319207+0,351490279024804i</v>
      </c>
      <c r="BJ325" s="68">
        <f t="shared" si="310"/>
        <v>1.13245716464031</v>
      </c>
      <c r="BK325" s="31">
        <f t="shared" si="317"/>
        <v>17.9703668563871</v>
      </c>
      <c r="BL325" s="32">
        <f t="shared" si="311"/>
        <v>-12.5905781756495</v>
      </c>
      <c r="BM325" s="31">
        <f t="shared" si="312"/>
        <v>-30.3122399269295</v>
      </c>
      <c r="BO325">
        <f t="shared" si="313"/>
        <v>0</v>
      </c>
      <c r="BP325">
        <f t="shared" si="314"/>
        <v>0</v>
      </c>
    </row>
    <row r="326" spans="14:68">
      <c r="N326" s="7">
        <v>8</v>
      </c>
      <c r="O326" s="18">
        <f t="shared" si="318"/>
        <v>12022.6443461742</v>
      </c>
      <c r="P326" s="86" t="str">
        <f t="shared" si="265"/>
        <v>15</v>
      </c>
      <c r="Q326" s="4" t="str">
        <f t="shared" si="266"/>
        <v>1+22,0326465068871i</v>
      </c>
      <c r="R326" s="4">
        <f t="shared" si="277"/>
        <v>22.0553284286914</v>
      </c>
      <c r="S326" s="4">
        <f t="shared" si="278"/>
        <v>1.52544026022489</v>
      </c>
      <c r="T326" s="4" t="str">
        <f t="shared" si="267"/>
        <v>1+0,0151081004618654i</v>
      </c>
      <c r="U326" s="4">
        <f t="shared" si="279"/>
        <v>1.000114120838</v>
      </c>
      <c r="V326" s="4">
        <f t="shared" si="280"/>
        <v>0.0151069511209561</v>
      </c>
      <c r="W326" t="str">
        <f t="shared" si="268"/>
        <v>1-1,32195879041323i</v>
      </c>
      <c r="X326" s="4">
        <f t="shared" si="281"/>
        <v>1.6575810820442</v>
      </c>
      <c r="Y326" s="4">
        <f t="shared" si="282"/>
        <v>-0.923177926179053</v>
      </c>
      <c r="Z326" t="str">
        <f t="shared" si="269"/>
        <v>0,998972131718581+0,070144752144375i</v>
      </c>
      <c r="AA326" s="4">
        <f t="shared" si="283"/>
        <v>1.00143177810761</v>
      </c>
      <c r="AB326" s="4">
        <f t="shared" si="284"/>
        <v>0.0701018665108336</v>
      </c>
      <c r="AC326" s="67" t="str">
        <f t="shared" si="285"/>
        <v>-0,904396471686457-0,670526834030705i</v>
      </c>
      <c r="AD326" s="68">
        <f t="shared" si="286"/>
        <v>1.02961403739527</v>
      </c>
      <c r="AE326" s="31">
        <f t="shared" si="287"/>
        <v>-143.446464266443</v>
      </c>
      <c r="AF326" s="32" t="str">
        <f t="shared" si="288"/>
        <v>75,4669735059805</v>
      </c>
      <c r="AG326" s="32" t="str">
        <f t="shared" si="270"/>
        <v>1+14,1638441829988i</v>
      </c>
      <c r="AH326" s="32">
        <f t="shared" si="289"/>
        <v>14.199101451862</v>
      </c>
      <c r="AI326" s="32">
        <f t="shared" si="290"/>
        <v>1.50031098558207</v>
      </c>
      <c r="AJ326" s="32" t="str">
        <f t="shared" si="271"/>
        <v>1+0,0151081004618654i</v>
      </c>
      <c r="AK326" s="32">
        <f t="shared" si="291"/>
        <v>1.000114120838</v>
      </c>
      <c r="AL326" s="32">
        <f t="shared" si="292"/>
        <v>0.0151069511209561</v>
      </c>
      <c r="AM326" s="32" t="str">
        <f t="shared" si="272"/>
        <v>1-0,168913698218135i</v>
      </c>
      <c r="AN326" s="32">
        <f t="shared" si="293"/>
        <v>1.0141655867982</v>
      </c>
      <c r="AO326" s="32">
        <f t="shared" si="294"/>
        <v>-0.167334178542189</v>
      </c>
      <c r="AP326" s="30" t="str">
        <f t="shared" si="295"/>
        <v>-0,440164899596334-5,37281591823611i</v>
      </c>
      <c r="AQ326" s="32">
        <f t="shared" si="296"/>
        <v>14.6330900070266</v>
      </c>
      <c r="AR326" s="31">
        <f t="shared" si="297"/>
        <v>-94.6834650891801</v>
      </c>
      <c r="AS326" t="str">
        <f t="shared" si="273"/>
        <v>-0,000338461538461538</v>
      </c>
      <c r="AT326" t="str">
        <f t="shared" si="274"/>
        <v>0,013223667091257i</v>
      </c>
      <c r="AU326">
        <f t="shared" si="298"/>
        <v>0.013223667091257</v>
      </c>
      <c r="AV326">
        <f t="shared" si="299"/>
        <v>1.5707963267949</v>
      </c>
      <c r="AW326" t="str">
        <f t="shared" si="275"/>
        <v>1+2,1461522150947i</v>
      </c>
      <c r="AX326">
        <f t="shared" si="300"/>
        <v>2.36769282854763</v>
      </c>
      <c r="AY326">
        <f t="shared" si="301"/>
        <v>1.1347576885244</v>
      </c>
      <c r="AZ326" t="str">
        <f t="shared" si="276"/>
        <v>1+18,7340445727131i</v>
      </c>
      <c r="BA326">
        <f t="shared" si="302"/>
        <v>18.7607149664505</v>
      </c>
      <c r="BB326">
        <f t="shared" si="303"/>
        <v>1.51746818120186</v>
      </c>
      <c r="BC326" s="30" t="str">
        <f t="shared" si="304"/>
        <v>-0,0757352229017258+0,188134450942471i</v>
      </c>
      <c r="BD326" s="32">
        <f t="shared" si="305"/>
        <v>-13.8583711313863</v>
      </c>
      <c r="BE326" s="31">
        <f t="shared" si="306"/>
        <v>111.927696005791</v>
      </c>
      <c r="BF326" s="30" t="str">
        <f t="shared" si="307"/>
        <v>0,194643866137268-0,119365634398136i</v>
      </c>
      <c r="BG326" s="68">
        <f t="shared" si="308"/>
        <v>-12.8287570939911</v>
      </c>
      <c r="BH326" s="31">
        <f t="shared" si="309"/>
        <v>-31.5187682606526</v>
      </c>
      <c r="BI326" s="30" t="str">
        <f t="shared" si="316"/>
        <v>1,04414775957676+0,324101229467848i</v>
      </c>
      <c r="BJ326" s="68">
        <f t="shared" si="310"/>
        <v>0.774718875640285</v>
      </c>
      <c r="BK326" s="31">
        <f t="shared" si="317"/>
        <v>17.2442309166104</v>
      </c>
      <c r="BL326" s="32">
        <f t="shared" si="311"/>
        <v>-12.8287570939911</v>
      </c>
      <c r="BM326" s="31">
        <f t="shared" si="312"/>
        <v>-31.5187682606526</v>
      </c>
      <c r="BO326">
        <f t="shared" si="313"/>
        <v>0</v>
      </c>
      <c r="BP326">
        <f t="shared" si="314"/>
        <v>0</v>
      </c>
    </row>
    <row r="327" spans="14:68">
      <c r="N327" s="7">
        <v>9</v>
      </c>
      <c r="O327" s="18">
        <f t="shared" si="318"/>
        <v>12302.6877081238</v>
      </c>
      <c r="P327" s="86" t="str">
        <f t="shared" si="265"/>
        <v>15</v>
      </c>
      <c r="Q327" s="4" t="str">
        <f t="shared" si="266"/>
        <v>1+22,5458527718966i</v>
      </c>
      <c r="R327" s="4">
        <f t="shared" si="277"/>
        <v>22.5680189031301</v>
      </c>
      <c r="S327" s="4">
        <f t="shared" si="278"/>
        <v>1.52647132288731</v>
      </c>
      <c r="T327" s="4" t="str">
        <f t="shared" si="267"/>
        <v>1+0,0154600133293005i</v>
      </c>
      <c r="U327" s="4">
        <f t="shared" si="279"/>
        <v>1.00011949886608</v>
      </c>
      <c r="V327" s="4">
        <f t="shared" si="280"/>
        <v>0.0154587817962752</v>
      </c>
      <c r="W327" t="str">
        <f t="shared" si="268"/>
        <v>1-1,35275116631379i</v>
      </c>
      <c r="X327" s="4">
        <f t="shared" si="281"/>
        <v>1.68224127816533</v>
      </c>
      <c r="Y327" s="4">
        <f t="shared" si="282"/>
        <v>-0.934220974181648</v>
      </c>
      <c r="Z327" t="str">
        <f t="shared" si="269"/>
        <v>0,99892368977889+0,0717786333146093i</v>
      </c>
      <c r="AA327" s="4">
        <f t="shared" si="283"/>
        <v>1.00149923125382</v>
      </c>
      <c r="AB327" s="4">
        <f t="shared" si="284"/>
        <v>0.0717326834987722</v>
      </c>
      <c r="AC327" s="67" t="str">
        <f t="shared" si="285"/>
        <v>-0,905744040533888-0,652965917509941i</v>
      </c>
      <c r="AD327" s="68">
        <f t="shared" si="286"/>
        <v>0.957747635707185</v>
      </c>
      <c r="AE327" s="31">
        <f t="shared" si="287"/>
        <v>-144.21154036669</v>
      </c>
      <c r="AF327" s="32" t="str">
        <f t="shared" si="288"/>
        <v>75,4669735059805</v>
      </c>
      <c r="AG327" s="32" t="str">
        <f t="shared" si="270"/>
        <v>1+14,4937624962192i</v>
      </c>
      <c r="AH327" s="32">
        <f t="shared" si="289"/>
        <v>14.5282191371417</v>
      </c>
      <c r="AI327" s="32">
        <f t="shared" si="290"/>
        <v>1.5019102982019</v>
      </c>
      <c r="AJ327" s="32" t="str">
        <f t="shared" si="271"/>
        <v>1+0,0154600133293005i</v>
      </c>
      <c r="AK327" s="32">
        <f t="shared" si="291"/>
        <v>1.00011949886608</v>
      </c>
      <c r="AL327" s="32">
        <f t="shared" si="292"/>
        <v>0.0154587817962752</v>
      </c>
      <c r="AM327" s="32" t="str">
        <f t="shared" si="272"/>
        <v>1-0,172848203686844i</v>
      </c>
      <c r="AN327" s="32">
        <f t="shared" si="293"/>
        <v>1.01482831135014</v>
      </c>
      <c r="AO327" s="32">
        <f t="shared" si="294"/>
        <v>-0.171157050629455</v>
      </c>
      <c r="AP327" s="30" t="str">
        <f t="shared" si="295"/>
        <v>-0,457113815142614-5,25231132144931i</v>
      </c>
      <c r="AQ327" s="32">
        <f t="shared" si="296"/>
        <v>14.4397804156047</v>
      </c>
      <c r="AR327" s="31">
        <f t="shared" si="297"/>
        <v>-94.9739749758383</v>
      </c>
      <c r="AS327" t="str">
        <f t="shared" si="273"/>
        <v>-0,000338461538461538</v>
      </c>
      <c r="AT327" t="str">
        <f t="shared" si="274"/>
        <v>0,0135316858667368i</v>
      </c>
      <c r="AU327">
        <f t="shared" si="298"/>
        <v>0.0135316858667368</v>
      </c>
      <c r="AV327">
        <f t="shared" si="299"/>
        <v>1.5707963267949</v>
      </c>
      <c r="AW327" t="str">
        <f t="shared" si="275"/>
        <v>1+2,19614252207423i</v>
      </c>
      <c r="AX327">
        <f t="shared" si="300"/>
        <v>2.4130980040733</v>
      </c>
      <c r="AY327">
        <f t="shared" si="301"/>
        <v>1.14350734547443</v>
      </c>
      <c r="AZ327" t="str">
        <f t="shared" si="276"/>
        <v>1+19,1704165283326i</v>
      </c>
      <c r="BA327">
        <f t="shared" si="302"/>
        <v>19.1964806636469</v>
      </c>
      <c r="BB327">
        <f t="shared" si="303"/>
        <v>1.5186798556156</v>
      </c>
      <c r="BC327" s="30" t="str">
        <f t="shared" si="304"/>
        <v>-0,0729119485094862+0,185137548647814i</v>
      </c>
      <c r="BD327" s="32">
        <f t="shared" si="305"/>
        <v>-14.0239185546785</v>
      </c>
      <c r="BE327" s="31">
        <f t="shared" si="306"/>
        <v>111.495801420418</v>
      </c>
      <c r="BF327" s="30" t="str">
        <f t="shared" si="307"/>
        <v>0,186928072164542-0,120078214010876i</v>
      </c>
      <c r="BG327" s="68">
        <f t="shared" si="308"/>
        <v>-13.0661709189713</v>
      </c>
      <c r="BH327" s="31">
        <f t="shared" si="309"/>
        <v>-32.7157389462718</v>
      </c>
      <c r="BI327" s="30" t="str">
        <f t="shared" si="316"/>
        <v>1,00572910174094+0,29832732143675i</v>
      </c>
      <c r="BJ327" s="68">
        <f t="shared" si="310"/>
        <v>0.415861860926298</v>
      </c>
      <c r="BK327" s="31">
        <f t="shared" si="317"/>
        <v>16.52182644458</v>
      </c>
      <c r="BL327" s="32">
        <f t="shared" si="311"/>
        <v>-13.0661709189713</v>
      </c>
      <c r="BM327" s="31">
        <f t="shared" si="312"/>
        <v>-32.7157389462718</v>
      </c>
      <c r="BO327">
        <f t="shared" si="313"/>
        <v>0</v>
      </c>
      <c r="BP327">
        <f t="shared" si="314"/>
        <v>0</v>
      </c>
    </row>
    <row r="328" spans="14:68">
      <c r="N328" s="7">
        <v>10</v>
      </c>
      <c r="O328" s="18">
        <f t="shared" si="318"/>
        <v>12589.2541179417</v>
      </c>
      <c r="P328" s="86" t="str">
        <f t="shared" si="265"/>
        <v>15</v>
      </c>
      <c r="Q328" s="4" t="str">
        <f t="shared" si="266"/>
        <v>1+23,0710131464753i</v>
      </c>
      <c r="R328" s="4">
        <f t="shared" si="277"/>
        <v>23.0926751937673</v>
      </c>
      <c r="S328" s="4">
        <f t="shared" si="278"/>
        <v>1.52747900683165</v>
      </c>
      <c r="T328" s="4" t="str">
        <f t="shared" si="267"/>
        <v>1+0,0158201233004402i</v>
      </c>
      <c r="U328" s="4">
        <f t="shared" si="279"/>
        <v>1.00012513032182</v>
      </c>
      <c r="V328" s="4">
        <f t="shared" si="280"/>
        <v>0.0158188036979454</v>
      </c>
      <c r="W328" t="str">
        <f t="shared" si="268"/>
        <v>1-1,38426078878852i</v>
      </c>
      <c r="X328" s="4">
        <f t="shared" si="281"/>
        <v>1.70768203462396</v>
      </c>
      <c r="Y328" s="4">
        <f t="shared" si="282"/>
        <v>-0.945189710932476</v>
      </c>
      <c r="Z328" t="str">
        <f t="shared" si="269"/>
        <v>0,998872964840917+0,0734505724663295i</v>
      </c>
      <c r="AA328" s="4">
        <f t="shared" si="283"/>
        <v>1.00156986101106</v>
      </c>
      <c r="AB328" s="4">
        <f t="shared" si="284"/>
        <v>0.0734013396816595</v>
      </c>
      <c r="AC328" s="67" t="str">
        <f t="shared" si="285"/>
        <v>-0,907019786343797-0,635745945094058i</v>
      </c>
      <c r="AD328" s="68">
        <f t="shared" si="286"/>
        <v>0.887942282025641</v>
      </c>
      <c r="AE328" s="31">
        <f t="shared" si="287"/>
        <v>-144.972717947436</v>
      </c>
      <c r="AF328" s="32" t="str">
        <f t="shared" si="288"/>
        <v>75,4669735059805</v>
      </c>
      <c r="AG328" s="32" t="str">
        <f t="shared" si="270"/>
        <v>1+14,8313655941627i</v>
      </c>
      <c r="AH328" s="32">
        <f t="shared" si="289"/>
        <v>14.8650397035364</v>
      </c>
      <c r="AI328" s="32">
        <f t="shared" si="290"/>
        <v>1.50347354714822</v>
      </c>
      <c r="AJ328" s="32" t="str">
        <f t="shared" si="271"/>
        <v>1+0,0158201233004402i</v>
      </c>
      <c r="AK328" s="32">
        <f t="shared" si="291"/>
        <v>1.00012513032182</v>
      </c>
      <c r="AL328" s="32">
        <f t="shared" si="292"/>
        <v>0.0158188036979454</v>
      </c>
      <c r="AM328" s="32" t="str">
        <f t="shared" si="272"/>
        <v>1-0,176874355561063i</v>
      </c>
      <c r="AN328" s="32">
        <f t="shared" si="293"/>
        <v>1.01552180560298</v>
      </c>
      <c r="AO328" s="32">
        <f t="shared" si="294"/>
        <v>-0.175063744942528</v>
      </c>
      <c r="AP328" s="30" t="str">
        <f t="shared" si="295"/>
        <v>-0,473306970893089-5,13448675545737i</v>
      </c>
      <c r="AQ328" s="32">
        <f t="shared" si="296"/>
        <v>14.2466890646016</v>
      </c>
      <c r="AR328" s="31">
        <f t="shared" si="297"/>
        <v>-95.2667519032794</v>
      </c>
      <c r="AS328" t="str">
        <f t="shared" si="273"/>
        <v>-0,000338461538461538</v>
      </c>
      <c r="AT328" t="str">
        <f t="shared" si="274"/>
        <v>0,0138468793211763i</v>
      </c>
      <c r="AU328">
        <f t="shared" si="298"/>
        <v>0.0138468793211763</v>
      </c>
      <c r="AV328">
        <f t="shared" si="299"/>
        <v>1.5707963267949</v>
      </c>
      <c r="AW328" t="str">
        <f t="shared" si="275"/>
        <v>1+2,24729725288834i</v>
      </c>
      <c r="AX328">
        <f t="shared" si="300"/>
        <v>2.45974489385373</v>
      </c>
      <c r="AY328">
        <f t="shared" si="301"/>
        <v>1.15212573565202</v>
      </c>
      <c r="AZ328" t="str">
        <f t="shared" si="276"/>
        <v>1+19,6169528925459i</v>
      </c>
      <c r="BA328">
        <f t="shared" si="302"/>
        <v>19.6424245140045</v>
      </c>
      <c r="BB328">
        <f t="shared" si="303"/>
        <v>1.51986409697557</v>
      </c>
      <c r="BC328" s="30" t="str">
        <f t="shared" si="304"/>
        <v>-0,0701727489632169+0,182142189707317i</v>
      </c>
      <c r="BD328" s="32">
        <f t="shared" si="305"/>
        <v>-14.1907511587468</v>
      </c>
      <c r="BE328" s="31">
        <f t="shared" si="306"/>
        <v>111.069856068896</v>
      </c>
      <c r="BF328" s="30" t="str">
        <f t="shared" si="307"/>
        <v>0,179444230308753-0,120594529383054i</v>
      </c>
      <c r="BG328" s="68">
        <f t="shared" si="308"/>
        <v>-13.3028088767212</v>
      </c>
      <c r="BH328" s="31">
        <f t="shared" si="309"/>
        <v>-33.90286187854</v>
      </c>
      <c r="BI328" s="30" t="str">
        <f t="shared" si="316"/>
        <v>0,968419911913244+0,274091882063468i</v>
      </c>
      <c r="BJ328" s="68">
        <f t="shared" si="310"/>
        <v>0.0559379058547654</v>
      </c>
      <c r="BK328" s="31">
        <f t="shared" si="317"/>
        <v>15.8031041656169</v>
      </c>
      <c r="BL328" s="32">
        <f t="shared" si="311"/>
        <v>-13.3028088767212</v>
      </c>
      <c r="BM328" s="31">
        <f t="shared" si="312"/>
        <v>-33.90286187854</v>
      </c>
      <c r="BO328">
        <f t="shared" si="313"/>
        <v>0</v>
      </c>
      <c r="BP328">
        <f t="shared" si="314"/>
        <v>0</v>
      </c>
    </row>
    <row r="329" spans="14:68">
      <c r="N329" s="7">
        <v>11</v>
      </c>
      <c r="O329" s="18">
        <f t="shared" si="318"/>
        <v>12882.4955169314</v>
      </c>
      <c r="P329" s="86" t="str">
        <f t="shared" si="265"/>
        <v>15</v>
      </c>
      <c r="Q329" s="4" t="str">
        <f t="shared" si="266"/>
        <v>1+23,6084060776054i</v>
      </c>
      <c r="R329" s="4">
        <f t="shared" si="277"/>
        <v>23.6295754833877</v>
      </c>
      <c r="S329" s="4">
        <f t="shared" si="278"/>
        <v>1.52846383815477</v>
      </c>
      <c r="T329" s="4" t="str">
        <f t="shared" si="267"/>
        <v>1+0,016188621310358i</v>
      </c>
      <c r="U329" s="4">
        <f t="shared" si="279"/>
        <v>1.00013102714591</v>
      </c>
      <c r="V329" s="4">
        <f t="shared" si="280"/>
        <v>0.0161872073408143</v>
      </c>
      <c r="W329" t="str">
        <f t="shared" si="268"/>
        <v>1-1,41650436465633i</v>
      </c>
      <c r="X329" s="4">
        <f t="shared" si="281"/>
        <v>1.73392174422332</v>
      </c>
      <c r="Y329" s="4">
        <f t="shared" si="282"/>
        <v>-0.95607939501888</v>
      </c>
      <c r="Z329" t="str">
        <f t="shared" si="269"/>
        <v>0,998819849310267+0,0751614560838048i</v>
      </c>
      <c r="AA329" s="4">
        <f t="shared" si="283"/>
        <v>1.00164381686147</v>
      </c>
      <c r="AB329" s="4">
        <f t="shared" si="284"/>
        <v>0.0751087059403358</v>
      </c>
      <c r="AC329" s="67" t="str">
        <f t="shared" si="285"/>
        <v>-0,908226385246205-0,618858219376748i</v>
      </c>
      <c r="AD329" s="68">
        <f t="shared" si="286"/>
        <v>0.82016837449871</v>
      </c>
      <c r="AE329" s="31">
        <f t="shared" si="287"/>
        <v>-145.729794470977</v>
      </c>
      <c r="AF329" s="32" t="str">
        <f t="shared" si="288"/>
        <v>75,4669735059805</v>
      </c>
      <c r="AG329" s="32" t="str">
        <f t="shared" si="270"/>
        <v>1+15,1768324784606i</v>
      </c>
      <c r="AH329" s="32">
        <f t="shared" si="289"/>
        <v>15.2097417492624</v>
      </c>
      <c r="AI329" s="32">
        <f t="shared" si="290"/>
        <v>1.50500153069764</v>
      </c>
      <c r="AJ329" s="32" t="str">
        <f t="shared" si="271"/>
        <v>1+0,016188621310358i</v>
      </c>
      <c r="AK329" s="32">
        <f t="shared" si="291"/>
        <v>1.00013102714591</v>
      </c>
      <c r="AL329" s="32">
        <f t="shared" si="292"/>
        <v>0.0161872073408143</v>
      </c>
      <c r="AM329" s="32" t="str">
        <f t="shared" si="272"/>
        <v>1-0,180994288559811i</v>
      </c>
      <c r="AN329" s="32">
        <f t="shared" si="293"/>
        <v>1.01624747600733</v>
      </c>
      <c r="AO329" s="32">
        <f t="shared" si="294"/>
        <v>-0.179055855624951</v>
      </c>
      <c r="AP329" s="30" t="str">
        <f t="shared" si="295"/>
        <v>-0,488777763944553-5,01928668136686i</v>
      </c>
      <c r="AQ329" s="32">
        <f t="shared" si="296"/>
        <v>14.0538294819685</v>
      </c>
      <c r="AR329" s="31">
        <f t="shared" si="297"/>
        <v>-95.561922031385</v>
      </c>
      <c r="AS329" t="str">
        <f t="shared" si="273"/>
        <v>-0,000338461538461538</v>
      </c>
      <c r="AT329" t="str">
        <f t="shared" si="274"/>
        <v>0,014169414574317i</v>
      </c>
      <c r="AU329">
        <f t="shared" si="298"/>
        <v>0.014169414574317</v>
      </c>
      <c r="AV329">
        <f t="shared" si="299"/>
        <v>1.5707963267949</v>
      </c>
      <c r="AW329" t="str">
        <f t="shared" si="275"/>
        <v>1+2,29964353045243i</v>
      </c>
      <c r="AX329">
        <f t="shared" si="300"/>
        <v>2.5076603372769</v>
      </c>
      <c r="AY329">
        <f t="shared" si="301"/>
        <v>1.16061230644135</v>
      </c>
      <c r="AZ329" t="str">
        <f t="shared" si="276"/>
        <v>1+20,0738904248439i</v>
      </c>
      <c r="BA329">
        <f t="shared" si="302"/>
        <v>20.0987829678476</v>
      </c>
      <c r="BB329">
        <f t="shared" si="303"/>
        <v>1.52102151988817</v>
      </c>
      <c r="BC329" s="30" t="str">
        <f t="shared" si="304"/>
        <v>-0,0675166994297196+0,179151110440479i</v>
      </c>
      <c r="BD329" s="32">
        <f t="shared" si="305"/>
        <v>-14.3588306681402</v>
      </c>
      <c r="BE329" s="31">
        <f t="shared" si="306"/>
        <v>110.649926828133</v>
      </c>
      <c r="BF329" s="30" t="str">
        <f t="shared" si="307"/>
        <v>0,172189585073371-0,120926501060929i</v>
      </c>
      <c r="BG329" s="68">
        <f t="shared" si="308"/>
        <v>-13.5386622936415</v>
      </c>
      <c r="BH329" s="31">
        <f t="shared" si="309"/>
        <v>-35.0798676428441</v>
      </c>
      <c r="BI329" s="30" t="str">
        <f t="shared" si="316"/>
        <v>0,932211443962154+0,25132059104816i</v>
      </c>
      <c r="BJ329" s="68">
        <f t="shared" si="310"/>
        <v>-0.3050011861717</v>
      </c>
      <c r="BK329" s="31">
        <f t="shared" si="317"/>
        <v>15.0880047967476</v>
      </c>
      <c r="BL329" s="32">
        <f t="shared" si="311"/>
        <v>-13.5386622936415</v>
      </c>
      <c r="BM329" s="31">
        <f t="shared" si="312"/>
        <v>-35.0798676428441</v>
      </c>
      <c r="BO329">
        <f t="shared" si="313"/>
        <v>0</v>
      </c>
      <c r="BP329">
        <f t="shared" si="314"/>
        <v>0</v>
      </c>
    </row>
    <row r="330" spans="14:68">
      <c r="N330" s="7">
        <v>12</v>
      </c>
      <c r="O330" s="18">
        <f t="shared" si="318"/>
        <v>13182.5673855641</v>
      </c>
      <c r="P330" s="86" t="str">
        <f t="shared" si="265"/>
        <v>15</v>
      </c>
      <c r="Q330" s="4" t="str">
        <f t="shared" si="266"/>
        <v>1+24,158316498132i</v>
      </c>
      <c r="R330" s="4">
        <f t="shared" si="277"/>
        <v>24.179004446501</v>
      </c>
      <c r="S330" s="4">
        <f t="shared" si="278"/>
        <v>1.52942633138148</v>
      </c>
      <c r="T330" s="4" t="str">
        <f t="shared" si="267"/>
        <v>1+0,0165657027415762i</v>
      </c>
      <c r="U330" s="4">
        <f t="shared" si="279"/>
        <v>1.00013720184149</v>
      </c>
      <c r="V330" s="4">
        <f t="shared" si="280"/>
        <v>0.0165641876571384</v>
      </c>
      <c r="W330" t="str">
        <f t="shared" si="268"/>
        <v>1-1,44949898988792i</v>
      </c>
      <c r="X330" s="4">
        <f t="shared" si="281"/>
        <v>1.76097908042262</v>
      </c>
      <c r="Y330" s="4">
        <f t="shared" si="282"/>
        <v>-0.966885469642739</v>
      </c>
      <c r="Z330" t="str">
        <f t="shared" si="269"/>
        <v>0,998764230521778+0,0769121913001751i</v>
      </c>
      <c r="AA330" s="4">
        <f t="shared" si="283"/>
        <v>1.00172125531026</v>
      </c>
      <c r="AB330" s="4">
        <f t="shared" si="284"/>
        <v>0.0768556726939215</v>
      </c>
      <c r="AC330" s="67" t="str">
        <f t="shared" si="285"/>
        <v>-0,909366370130929-0,602294196254221i</v>
      </c>
      <c r="AD330" s="68">
        <f t="shared" si="286"/>
        <v>0.754394671280838</v>
      </c>
      <c r="AE330" s="31">
        <f t="shared" si="287"/>
        <v>-146.482578180573</v>
      </c>
      <c r="AF330" s="32" t="str">
        <f t="shared" si="288"/>
        <v>75,4669735059805</v>
      </c>
      <c r="AG330" s="32" t="str">
        <f t="shared" si="270"/>
        <v>1+15,5303463202277i</v>
      </c>
      <c r="AH330" s="32">
        <f t="shared" si="289"/>
        <v>15.5625080506392</v>
      </c>
      <c r="AI330" s="32">
        <f t="shared" si="290"/>
        <v>1.50649503045172</v>
      </c>
      <c r="AJ330" s="32" t="str">
        <f t="shared" si="271"/>
        <v>1+0,0165657027415762i</v>
      </c>
      <c r="AK330" s="32">
        <f t="shared" si="291"/>
        <v>1.00013720184149</v>
      </c>
      <c r="AL330" s="32">
        <f t="shared" si="292"/>
        <v>0.0165641876571384</v>
      </c>
      <c r="AM330" s="32" t="str">
        <f t="shared" si="272"/>
        <v>1-0,185210187126095i</v>
      </c>
      <c r="AN330" s="32">
        <f t="shared" si="293"/>
        <v>1.01700679123361</v>
      </c>
      <c r="AO330" s="32">
        <f t="shared" si="294"/>
        <v>-0.183134990118359</v>
      </c>
      <c r="AP330" s="30" t="str">
        <f t="shared" si="295"/>
        <v>-0,503558142097856-4,90665649582607i</v>
      </c>
      <c r="AQ330" s="32">
        <f t="shared" si="296"/>
        <v>13.8612155880973</v>
      </c>
      <c r="AR330" s="31">
        <f t="shared" si="297"/>
        <v>-95.8596110734515</v>
      </c>
      <c r="AS330" t="str">
        <f t="shared" si="273"/>
        <v>-0,000338461538461538</v>
      </c>
      <c r="AT330" t="str">
        <f t="shared" si="274"/>
        <v>0,0144994626386194i</v>
      </c>
      <c r="AU330">
        <f t="shared" si="298"/>
        <v>0.0144994626386194</v>
      </c>
      <c r="AV330">
        <f t="shared" si="299"/>
        <v>1.5707963267949</v>
      </c>
      <c r="AW330" t="str">
        <f t="shared" si="275"/>
        <v>1+2,35320910945574i</v>
      </c>
      <c r="AX330">
        <f t="shared" si="300"/>
        <v>2.55687174352283</v>
      </c>
      <c r="AY330">
        <f t="shared" si="301"/>
        <v>1.16896666673665</v>
      </c>
      <c r="AZ330" t="str">
        <f t="shared" si="276"/>
        <v>1+20,5414713995545i</v>
      </c>
      <c r="BA330">
        <f t="shared" si="302"/>
        <v>20.565797997129</v>
      </c>
      <c r="BB330">
        <f t="shared" si="303"/>
        <v>1.52215272562318</v>
      </c>
      <c r="BC330" s="30" t="str">
        <f t="shared" si="304"/>
        <v>-0,0649427594357049+0,176166933242798i</v>
      </c>
      <c r="BD330" s="32">
        <f t="shared" si="305"/>
        <v>-14.5281192209796</v>
      </c>
      <c r="BE330" s="31">
        <f t="shared" si="306"/>
        <v>110.236070557057</v>
      </c>
      <c r="BF330" s="30" t="str">
        <f t="shared" si="307"/>
        <v>0,165161082878375-0,121085637523242i</v>
      </c>
      <c r="BG330" s="68">
        <f t="shared" si="308"/>
        <v>-13.7737245496988</v>
      </c>
      <c r="BH330" s="31">
        <f t="shared" si="309"/>
        <v>-36.246507623516</v>
      </c>
      <c r="BI330" s="30" t="str">
        <f t="shared" si="316"/>
        <v>0,897093082629684+0,229941518839251i</v>
      </c>
      <c r="BJ330" s="68">
        <f t="shared" si="310"/>
        <v>-0.666903632882284</v>
      </c>
      <c r="BK330" s="31">
        <f t="shared" si="317"/>
        <v>14.3764594836054</v>
      </c>
      <c r="BL330" s="32">
        <f t="shared" si="311"/>
        <v>-13.7737245496988</v>
      </c>
      <c r="BM330" s="31">
        <f t="shared" si="312"/>
        <v>-36.246507623516</v>
      </c>
      <c r="BO330">
        <f t="shared" si="313"/>
        <v>0</v>
      </c>
      <c r="BP330">
        <f t="shared" si="314"/>
        <v>0</v>
      </c>
    </row>
    <row r="331" spans="14:68">
      <c r="N331" s="7">
        <v>13</v>
      </c>
      <c r="O331" s="18">
        <f t="shared" si="318"/>
        <v>13489.6288259166</v>
      </c>
      <c r="P331" s="86" t="str">
        <f t="shared" si="265"/>
        <v>15</v>
      </c>
      <c r="Q331" s="4" t="str">
        <f t="shared" si="266"/>
        <v>1+24,721035977839i</v>
      </c>
      <c r="R331" s="4">
        <f t="shared" si="277"/>
        <v>24.741253400295</v>
      </c>
      <c r="S331" s="4">
        <f t="shared" si="278"/>
        <v>1.53036698970118</v>
      </c>
      <c r="T331" s="4" t="str">
        <f t="shared" si="267"/>
        <v>1+0,016951567527661i</v>
      </c>
      <c r="U331" s="4">
        <f t="shared" si="279"/>
        <v>1.00014366750065</v>
      </c>
      <c r="V331" s="4">
        <f t="shared" si="280"/>
        <v>0.0169499440980315</v>
      </c>
      <c r="W331" t="str">
        <f t="shared" si="268"/>
        <v>1-1,48326215867034i</v>
      </c>
      <c r="X331" s="4">
        <f t="shared" si="281"/>
        <v>1.78887300592954</v>
      </c>
      <c r="Y331" s="4">
        <f t="shared" si="282"/>
        <v>-0.977603569713194</v>
      </c>
      <c r="Z331" t="str">
        <f t="shared" si="269"/>
        <v>0,998705990500544+0,0787037063784259i</v>
      </c>
      <c r="AA331" s="4">
        <f t="shared" si="283"/>
        <v>1.00180234021456</v>
      </c>
      <c r="AB331" s="4">
        <f t="shared" si="284"/>
        <v>0.0786431503020143</v>
      </c>
      <c r="AC331" s="67" t="str">
        <f t="shared" si="285"/>
        <v>-0,910442135797374-0,586045482318486i</v>
      </c>
      <c r="AD331" s="68">
        <f t="shared" si="286"/>
        <v>0.690588399377718</v>
      </c>
      <c r="AE331" s="31">
        <f t="shared" si="287"/>
        <v>-147.230888537626</v>
      </c>
      <c r="AF331" s="32" t="str">
        <f t="shared" si="288"/>
        <v>75,4669735059805</v>
      </c>
      <c r="AG331" s="32" t="str">
        <f t="shared" si="270"/>
        <v>1+15,8920945571822i</v>
      </c>
      <c r="AH331" s="32">
        <f t="shared" si="289"/>
        <v>15.9235256590499</v>
      </c>
      <c r="AI331" s="32">
        <f t="shared" si="290"/>
        <v>1.50795481161829</v>
      </c>
      <c r="AJ331" s="32" t="str">
        <f t="shared" si="271"/>
        <v>1+0,016951567527661i</v>
      </c>
      <c r="AK331" s="32">
        <f t="shared" si="291"/>
        <v>1.00014366750065</v>
      </c>
      <c r="AL331" s="32">
        <f t="shared" si="292"/>
        <v>0.0169499440980315</v>
      </c>
      <c r="AM331" s="32" t="str">
        <f t="shared" si="272"/>
        <v>1-0,18952428658514i</v>
      </c>
      <c r="AN331" s="32">
        <f t="shared" si="293"/>
        <v>1.01780128473372</v>
      </c>
      <c r="AO331" s="32">
        <f t="shared" si="294"/>
        <v>-0.18730276797433</v>
      </c>
      <c r="AP331" s="30" t="str">
        <f t="shared" si="295"/>
        <v>-0,517678664419171-4,79654253178055i</v>
      </c>
      <c r="AQ331" s="32">
        <f t="shared" si="296"/>
        <v>13.6688617159772</v>
      </c>
      <c r="AR331" s="31">
        <f t="shared" si="297"/>
        <v>-96.1599442384207</v>
      </c>
      <c r="AS331" t="str">
        <f t="shared" si="273"/>
        <v>-0,000338461538461538</v>
      </c>
      <c r="AT331" t="str">
        <f t="shared" si="274"/>
        <v>0,0148371985099359i</v>
      </c>
      <c r="AU331">
        <f t="shared" si="298"/>
        <v>0.0148371985099359</v>
      </c>
      <c r="AV331">
        <f t="shared" si="299"/>
        <v>1.5707963267949</v>
      </c>
      <c r="AW331" t="str">
        <f t="shared" si="275"/>
        <v>1+2,4080223910773i</v>
      </c>
      <c r="AX331">
        <f t="shared" si="300"/>
        <v>2.60740710974133</v>
      </c>
      <c r="AY331">
        <f t="shared" si="301"/>
        <v>1.17718858031612</v>
      </c>
      <c r="AZ331" t="str">
        <f t="shared" si="276"/>
        <v>1+21,0199437342997i</v>
      </c>
      <c r="BA331">
        <f t="shared" si="302"/>
        <v>21.0437172237494</v>
      </c>
      <c r="BB331">
        <f t="shared" si="303"/>
        <v>1.52325830237409</v>
      </c>
      <c r="BC331" s="30" t="str">
        <f t="shared" si="304"/>
        <v>-0,0624497831398861+0,17319216379922i</v>
      </c>
      <c r="BD331" s="32">
        <f t="shared" si="305"/>
        <v>-14.6985794231997</v>
      </c>
      <c r="BE331" s="31">
        <f t="shared" si="306"/>
        <v>109.828334491187</v>
      </c>
      <c r="BF331" s="30" t="str">
        <f t="shared" si="307"/>
        <v>0,158355399109457-0,121083030231831i</v>
      </c>
      <c r="BG331" s="68">
        <f t="shared" si="308"/>
        <v>-14.007991023822</v>
      </c>
      <c r="BH331" s="31">
        <f t="shared" si="309"/>
        <v>-37.4025540464392</v>
      </c>
      <c r="BI331" s="30" t="str">
        <f t="shared" si="316"/>
        <v>0,863052500163185+0,209885152887489i</v>
      </c>
      <c r="BJ331" s="68">
        <f t="shared" si="310"/>
        <v>-1.02971770722248</v>
      </c>
      <c r="BK331" s="31">
        <f t="shared" si="317"/>
        <v>13.6683902527664</v>
      </c>
      <c r="BL331" s="32">
        <f t="shared" si="311"/>
        <v>-14.007991023822</v>
      </c>
      <c r="BM331" s="31">
        <f t="shared" si="312"/>
        <v>-37.4025540464392</v>
      </c>
      <c r="BO331">
        <f t="shared" si="313"/>
        <v>0</v>
      </c>
      <c r="BP331">
        <f t="shared" si="314"/>
        <v>0</v>
      </c>
    </row>
    <row r="332" spans="14:68">
      <c r="N332" s="7">
        <v>14</v>
      </c>
      <c r="O332" s="18">
        <f t="shared" si="318"/>
        <v>13803.8426460288</v>
      </c>
      <c r="P332" s="86" t="str">
        <f t="shared" si="265"/>
        <v>15</v>
      </c>
      <c r="Q332" s="4" t="str">
        <f t="shared" si="266"/>
        <v>1+25,296862878043i</v>
      </c>
      <c r="R332" s="4">
        <f t="shared" si="277"/>
        <v>25.3166204591077</v>
      </c>
      <c r="S332" s="4">
        <f t="shared" si="278"/>
        <v>1.53128630520094</v>
      </c>
      <c r="T332" s="4" t="str">
        <f t="shared" si="267"/>
        <v>1+0,0173464202592295i</v>
      </c>
      <c r="U332" s="4">
        <f t="shared" si="279"/>
        <v>1.00015043783213</v>
      </c>
      <c r="V332" s="4">
        <f t="shared" si="280"/>
        <v>0.0173446807371721</v>
      </c>
      <c r="W332" t="str">
        <f t="shared" si="268"/>
        <v>1-1,51781177268258i</v>
      </c>
      <c r="X332" s="4">
        <f t="shared" si="281"/>
        <v>1.81762278190328</v>
      </c>
      <c r="Y332" s="4">
        <f t="shared" si="282"/>
        <v>-0.988229527946357</v>
      </c>
      <c r="Z332" t="str">
        <f t="shared" si="269"/>
        <v>0,998645005711671+0,0805369512035652i</v>
      </c>
      <c r="AA332" s="4">
        <f t="shared" si="283"/>
        <v>1.0018872431277</v>
      </c>
      <c r="AB332" s="4">
        <f t="shared" si="284"/>
        <v>0.0804720694725324</v>
      </c>
      <c r="AC332" s="67" t="str">
        <f t="shared" si="285"/>
        <v>-0,911455943838196-0,570103832233002i</v>
      </c>
      <c r="AD332" s="68">
        <f t="shared" si="286"/>
        <v>0.628715365641385</v>
      </c>
      <c r="AE332" s="31">
        <f t="shared" si="287"/>
        <v>-147.974556601945</v>
      </c>
      <c r="AF332" s="32" t="str">
        <f t="shared" si="288"/>
        <v>75,4669735059805</v>
      </c>
      <c r="AG332" s="32" t="str">
        <f t="shared" si="270"/>
        <v>1+16,2622689930276i</v>
      </c>
      <c r="AH332" s="32">
        <f t="shared" si="289"/>
        <v>16.2929860001654</v>
      </c>
      <c r="AI332" s="32">
        <f t="shared" si="290"/>
        <v>1.50938162329272</v>
      </c>
      <c r="AJ332" s="32" t="str">
        <f t="shared" si="271"/>
        <v>1+0,0173464202592295i</v>
      </c>
      <c r="AK332" s="32">
        <f t="shared" si="291"/>
        <v>1.00015043783213</v>
      </c>
      <c r="AL332" s="32">
        <f t="shared" si="292"/>
        <v>0.0173446807371721</v>
      </c>
      <c r="AM332" s="32" t="str">
        <f t="shared" si="272"/>
        <v>1-0,193938874329583i</v>
      </c>
      <c r="AN332" s="32">
        <f t="shared" si="293"/>
        <v>1.01863255739065</v>
      </c>
      <c r="AO332" s="32">
        <f t="shared" si="294"/>
        <v>-0.191560819554639</v>
      </c>
      <c r="AP332" s="30" t="str">
        <f t="shared" si="295"/>
        <v>-0,531168559477543-4,68889205782062i</v>
      </c>
      <c r="AQ332" s="32">
        <f t="shared" si="296"/>
        <v>13.4767826314497</v>
      </c>
      <c r="AR332" s="31">
        <f t="shared" si="297"/>
        <v>-96.4630461665839</v>
      </c>
      <c r="AS332" t="str">
        <f t="shared" si="273"/>
        <v>-0,000338461538461538</v>
      </c>
      <c r="AT332" t="str">
        <f t="shared" si="274"/>
        <v>0,0151828012602958i</v>
      </c>
      <c r="AU332">
        <f t="shared" si="298"/>
        <v>0.0151828012602958</v>
      </c>
      <c r="AV332">
        <f t="shared" si="299"/>
        <v>1.5707963267949</v>
      </c>
      <c r="AW332" t="str">
        <f t="shared" si="275"/>
        <v>1+2,46411243804454i</v>
      </c>
      <c r="AX332">
        <f t="shared" si="300"/>
        <v>2.65929503954071</v>
      </c>
      <c r="AY332">
        <f t="shared" si="301"/>
        <v>1.18527795909457</v>
      </c>
      <c r="AZ332" t="str">
        <f t="shared" si="276"/>
        <v>1+21,5095611214445i</v>
      </c>
      <c r="BA332">
        <f t="shared" si="302"/>
        <v>21.5327940508694</v>
      </c>
      <c r="BB332">
        <f t="shared" si="303"/>
        <v>1.52433882551543</v>
      </c>
      <c r="BC332" s="30" t="str">
        <f t="shared" si="304"/>
        <v>-0,0600365293906508+0,170229189082687i</v>
      </c>
      <c r="BD332" s="32">
        <f t="shared" si="305"/>
        <v>-14.8701743979035</v>
      </c>
      <c r="BE332" s="31">
        <f t="shared" si="306"/>
        <v>109.426756643964</v>
      </c>
      <c r="BF332" s="30" t="str">
        <f t="shared" si="307"/>
        <v>0,151768964614481-0,120929350724592i</v>
      </c>
      <c r="BG332" s="68">
        <f t="shared" si="308"/>
        <v>-14.2414590322621</v>
      </c>
      <c r="BH332" s="31">
        <f t="shared" si="309"/>
        <v>-38.5477999579809</v>
      </c>
      <c r="BI332" s="30" t="str">
        <f t="shared" si="316"/>
        <v>0,830075809531519+0,191084412692856i</v>
      </c>
      <c r="BJ332" s="68">
        <f t="shared" si="310"/>
        <v>-1.39339176645371</v>
      </c>
      <c r="BK332" s="31">
        <f t="shared" si="317"/>
        <v>12.9637104773804</v>
      </c>
      <c r="BL332" s="32">
        <f t="shared" si="311"/>
        <v>-14.2414590322621</v>
      </c>
      <c r="BM332" s="31">
        <f t="shared" si="312"/>
        <v>-38.5477999579809</v>
      </c>
      <c r="BO332">
        <f t="shared" si="313"/>
        <v>0</v>
      </c>
      <c r="BP332">
        <f t="shared" si="314"/>
        <v>0</v>
      </c>
    </row>
    <row r="333" spans="14:68">
      <c r="N333" s="7">
        <v>15</v>
      </c>
      <c r="O333" s="18">
        <f t="shared" si="318"/>
        <v>14125.3754462276</v>
      </c>
      <c r="P333" s="86" t="str">
        <f t="shared" si="265"/>
        <v>15</v>
      </c>
      <c r="Q333" s="4" t="str">
        <f t="shared" si="266"/>
        <v>1+25,8861025097886i</v>
      </c>
      <c r="R333" s="4">
        <f t="shared" si="277"/>
        <v>25.9054106925037</v>
      </c>
      <c r="S333" s="4">
        <f t="shared" si="278"/>
        <v>1.53218475909483</v>
      </c>
      <c r="T333" s="4" t="str">
        <f t="shared" si="267"/>
        <v>1+0,0177504702924265i</v>
      </c>
      <c r="U333" s="4">
        <f t="shared" si="279"/>
        <v>1.00015752719039</v>
      </c>
      <c r="V333" s="4">
        <f t="shared" si="280"/>
        <v>0.0177486063768153</v>
      </c>
      <c r="W333" t="str">
        <f t="shared" si="268"/>
        <v>1-1,55316615058732i</v>
      </c>
      <c r="X333" s="4">
        <f t="shared" si="281"/>
        <v>1.84724797775779</v>
      </c>
      <c r="Y333" s="4">
        <f t="shared" si="282"/>
        <v>-0.998759379972423</v>
      </c>
      <c r="Z333" t="str">
        <f t="shared" si="269"/>
        <v>0,998581146798244+0,0824128977862655i</v>
      </c>
      <c r="AA333" s="4">
        <f t="shared" si="283"/>
        <v>1.00197614365933</v>
      </c>
      <c r="AB333" s="4">
        <f t="shared" si="284"/>
        <v>0.0823433816750805</v>
      </c>
      <c r="AC333" s="67" t="str">
        <f t="shared" si="285"/>
        <v>-0,912409927265678-0,554461146097663i</v>
      </c>
      <c r="AD333" s="68">
        <f t="shared" si="286"/>
        <v>0.568740069156155</v>
      </c>
      <c r="AE333" s="31">
        <f t="shared" si="287"/>
        <v>-148.713425355112</v>
      </c>
      <c r="AF333" s="32" t="str">
        <f t="shared" si="288"/>
        <v>75,4669735059805</v>
      </c>
      <c r="AG333" s="32" t="str">
        <f t="shared" si="270"/>
        <v>1+16,6410658991498i</v>
      </c>
      <c r="AH333" s="32">
        <f t="shared" si="289"/>
        <v>16.6710849754851</v>
      </c>
      <c r="AI333" s="32">
        <f t="shared" si="290"/>
        <v>1.51077619873879</v>
      </c>
      <c r="AJ333" s="32" t="str">
        <f t="shared" si="271"/>
        <v>1+0,0177504702924265i</v>
      </c>
      <c r="AK333" s="32">
        <f t="shared" si="291"/>
        <v>1.00015752719039</v>
      </c>
      <c r="AL333" s="32">
        <f t="shared" si="292"/>
        <v>0.0177486063768153</v>
      </c>
      <c r="AM333" s="32" t="str">
        <f t="shared" si="272"/>
        <v>1-0,198456291032281i</v>
      </c>
      <c r="AN333" s="32">
        <f t="shared" si="293"/>
        <v>1.01950228025752</v>
      </c>
      <c r="AO333" s="32">
        <f t="shared" si="294"/>
        <v>-0.195910784613833</v>
      </c>
      <c r="AP333" s="30" t="str">
        <f t="shared" si="295"/>
        <v>-0,544055781329158-4,58365327623915i</v>
      </c>
      <c r="AQ333" s="32">
        <f t="shared" si="296"/>
        <v>13.2849935535388</v>
      </c>
      <c r="AR333" s="31">
        <f t="shared" si="297"/>
        <v>-96.769040858389</v>
      </c>
      <c r="AS333" t="str">
        <f t="shared" si="273"/>
        <v>-0,000338461538461538</v>
      </c>
      <c r="AT333" t="str">
        <f t="shared" si="274"/>
        <v>0,0155364541328521i</v>
      </c>
      <c r="AU333">
        <f t="shared" si="298"/>
        <v>0.0155364541328521</v>
      </c>
      <c r="AV333">
        <f t="shared" si="299"/>
        <v>1.5707963267949</v>
      </c>
      <c r="AW333" t="str">
        <f t="shared" si="275"/>
        <v>1+2,52150899004282i</v>
      </c>
      <c r="AX333">
        <f t="shared" si="300"/>
        <v>2.71256476178298</v>
      </c>
      <c r="AY333">
        <f t="shared" si="301"/>
        <v>1.19323485629584</v>
      </c>
      <c r="AZ333" t="str">
        <f t="shared" si="276"/>
        <v>1+22,0105831626088i</v>
      </c>
      <c r="BA333">
        <f t="shared" si="302"/>
        <v>22.0332877972879</v>
      </c>
      <c r="BB333">
        <f t="shared" si="303"/>
        <v>1.52539485785679</v>
      </c>
      <c r="BC333" s="30" t="str">
        <f t="shared" si="304"/>
        <v>-0,0577016715194144+0,16728027608617i</v>
      </c>
      <c r="BD333" s="32">
        <f t="shared" si="305"/>
        <v>-15.0428678299503</v>
      </c>
      <c r="BE333" s="31">
        <f t="shared" si="306"/>
        <v>109.031366212501</v>
      </c>
      <c r="BF333" s="30" t="str">
        <f t="shared" si="307"/>
        <v>0,145397991512408-0,12063484961436i</v>
      </c>
      <c r="BG333" s="68">
        <f t="shared" si="308"/>
        <v>-14.4741277607942</v>
      </c>
      <c r="BH333" s="31">
        <f t="shared" si="309"/>
        <v>-39.6820591426112</v>
      </c>
      <c r="BI333" s="30" t="str">
        <f t="shared" si="316"/>
        <v>0,798147713515056+0,173474654397421i</v>
      </c>
      <c r="BJ333" s="68">
        <f t="shared" si="310"/>
        <v>-1.75787427641149</v>
      </c>
      <c r="BK333" s="31">
        <f t="shared" si="317"/>
        <v>12.262325354112</v>
      </c>
      <c r="BL333" s="32">
        <f t="shared" si="311"/>
        <v>-14.4741277607942</v>
      </c>
      <c r="BM333" s="31">
        <f t="shared" si="312"/>
        <v>-39.6820591426112</v>
      </c>
      <c r="BO333">
        <f t="shared" si="313"/>
        <v>0</v>
      </c>
      <c r="BP333">
        <f t="shared" si="314"/>
        <v>0</v>
      </c>
    </row>
    <row r="334" spans="14:68">
      <c r="N334" s="7">
        <v>16</v>
      </c>
      <c r="O334" s="18">
        <f t="shared" si="318"/>
        <v>14454.3977074593</v>
      </c>
      <c r="P334" s="86" t="str">
        <f t="shared" si="265"/>
        <v>15</v>
      </c>
      <c r="Q334" s="4" t="str">
        <f t="shared" si="266"/>
        <v>1+26,4890672957279i</v>
      </c>
      <c r="R334" s="4">
        <f t="shared" si="277"/>
        <v>26.5079362870368</v>
      </c>
      <c r="S334" s="4">
        <f t="shared" si="278"/>
        <v>1.53306282194971</v>
      </c>
      <c r="T334" s="4" t="str">
        <f t="shared" si="267"/>
        <v>1+0,0181639318599277i</v>
      </c>
      <c r="U334" s="4">
        <f t="shared" si="279"/>
        <v>1.00016495060595</v>
      </c>
      <c r="V334" s="4">
        <f t="shared" si="280"/>
        <v>0.0181619346561565</v>
      </c>
      <c r="W334" t="str">
        <f t="shared" si="268"/>
        <v>1-1,58934403774367i</v>
      </c>
      <c r="X334" s="4">
        <f t="shared" si="281"/>
        <v>1.87776848155233</v>
      </c>
      <c r="Y334" s="4">
        <f t="shared" si="282"/>
        <v>-1.00918936845873</v>
      </c>
      <c r="Z334" t="str">
        <f t="shared" si="269"/>
        <v>0,998514278306948+0,0843325407782355i</v>
      </c>
      <c r="AA334" s="4">
        <f t="shared" si="283"/>
        <v>1.00206922985239</v>
      </c>
      <c r="AB334" s="4">
        <f t="shared" si="284"/>
        <v>0.0842580595596875</v>
      </c>
      <c r="AC334" s="67" t="str">
        <f t="shared" si="285"/>
        <v>-0,913306094889088-0,53910946680958i</v>
      </c>
      <c r="AD334" s="68">
        <f t="shared" si="286"/>
        <v>0.510625814274574</v>
      </c>
      <c r="AE334" s="31">
        <f t="shared" si="287"/>
        <v>-149.447349967435</v>
      </c>
      <c r="AF334" s="32" t="str">
        <f t="shared" si="288"/>
        <v>75,4669735059805</v>
      </c>
      <c r="AG334" s="32" t="str">
        <f t="shared" si="270"/>
        <v>1+17,0286861186822i</v>
      </c>
      <c r="AH334" s="32">
        <f t="shared" si="289"/>
        <v>17.0580230662466</v>
      </c>
      <c r="AI334" s="32">
        <f t="shared" si="290"/>
        <v>1.5121392556688</v>
      </c>
      <c r="AJ334" s="32" t="str">
        <f t="shared" si="271"/>
        <v>1+0,0181639318599277i</v>
      </c>
      <c r="AK334" s="32">
        <f t="shared" si="291"/>
        <v>1.00016495060595</v>
      </c>
      <c r="AL334" s="32">
        <f t="shared" si="292"/>
        <v>0.0181619346561565</v>
      </c>
      <c r="AM334" s="32" t="str">
        <f t="shared" si="272"/>
        <v>1-0,203078931887363i</v>
      </c>
      <c r="AN334" s="32">
        <f t="shared" si="293"/>
        <v>1.02041219738717</v>
      </c>
      <c r="AO334" s="32">
        <f t="shared" si="294"/>
        <v>-0.200354310757879</v>
      </c>
      <c r="AP334" s="30" t="str">
        <f t="shared" si="295"/>
        <v>-0,556367063318186-4,48077531991043i</v>
      </c>
      <c r="AQ334" s="32">
        <f t="shared" si="296"/>
        <v>13.0935101748284</v>
      </c>
      <c r="AR334" s="31">
        <f t="shared" si="297"/>
        <v>-97.0780515959649</v>
      </c>
      <c r="AS334" t="str">
        <f t="shared" si="273"/>
        <v>-0,000338461538461538</v>
      </c>
      <c r="AT334" t="str">
        <f t="shared" si="274"/>
        <v>0,0158983446390389i</v>
      </c>
      <c r="AU334">
        <f t="shared" si="298"/>
        <v>0.0158983446390389</v>
      </c>
      <c r="AV334">
        <f t="shared" si="299"/>
        <v>1.5707963267949</v>
      </c>
      <c r="AW334" t="str">
        <f t="shared" si="275"/>
        <v>1+2,58024247948374i</v>
      </c>
      <c r="AX334">
        <f t="shared" si="300"/>
        <v>2.76724614968246</v>
      </c>
      <c r="AY334">
        <f t="shared" si="301"/>
        <v>1.20105945958318</v>
      </c>
      <c r="AZ334" t="str">
        <f t="shared" si="276"/>
        <v>1+22,5232755063103i</v>
      </c>
      <c r="BA334">
        <f t="shared" si="302"/>
        <v>22.5454638349526</v>
      </c>
      <c r="BB334">
        <f t="shared" si="303"/>
        <v>1.52642694989358</v>
      </c>
      <c r="BC334" s="30" t="str">
        <f t="shared" si="304"/>
        <v>-0,0554438068268205+0,164347571235073i</v>
      </c>
      <c r="BD334" s="32">
        <f t="shared" si="305"/>
        <v>-15.2166240059134</v>
      </c>
      <c r="BE334" s="31">
        <f t="shared" si="306"/>
        <v>108.64218398555</v>
      </c>
      <c r="BF334" s="30" t="str">
        <f t="shared" si="307"/>
        <v>0,139238498198778-0,12020935735291i</v>
      </c>
      <c r="BG334" s="68">
        <f t="shared" si="308"/>
        <v>-14.7059981916388</v>
      </c>
      <c r="BH334" s="31">
        <f t="shared" si="309"/>
        <v>-40.8051659818846</v>
      </c>
      <c r="BI334" s="30" t="str">
        <f t="shared" si="316"/>
        <v>0,767251649060755+0,156993665699965i</v>
      </c>
      <c r="BJ334" s="68">
        <f t="shared" si="310"/>
        <v>-2.123113831085</v>
      </c>
      <c r="BK334" s="31">
        <f t="shared" si="317"/>
        <v>11.564132389585</v>
      </c>
      <c r="BL334" s="32">
        <f t="shared" si="311"/>
        <v>-14.7059981916388</v>
      </c>
      <c r="BM334" s="31">
        <f t="shared" si="312"/>
        <v>-40.8051659818846</v>
      </c>
      <c r="BO334">
        <f t="shared" si="313"/>
        <v>0</v>
      </c>
      <c r="BP334">
        <f t="shared" si="314"/>
        <v>0</v>
      </c>
    </row>
    <row r="335" spans="14:68">
      <c r="N335" s="7">
        <v>17</v>
      </c>
      <c r="O335" s="18">
        <f t="shared" si="318"/>
        <v>14791.0838816821</v>
      </c>
      <c r="P335" s="86" t="str">
        <f t="shared" si="265"/>
        <v>15</v>
      </c>
      <c r="Q335" s="4" t="str">
        <f t="shared" si="266"/>
        <v>1+27,1060769357717i</v>
      </c>
      <c r="R335" s="4">
        <f t="shared" si="277"/>
        <v>27.1245167117863</v>
      </c>
      <c r="S335" s="4">
        <f t="shared" si="278"/>
        <v>1.53392095390718</v>
      </c>
      <c r="T335" s="4" t="str">
        <f t="shared" si="267"/>
        <v>1+0,0185870241845291i</v>
      </c>
      <c r="U335" s="4">
        <f t="shared" si="279"/>
        <v>1.00017272381726</v>
      </c>
      <c r="V335" s="4">
        <f t="shared" si="280"/>
        <v>0.0185848841620914</v>
      </c>
      <c r="W335" t="str">
        <f t="shared" si="268"/>
        <v>1-1,6263646161463i</v>
      </c>
      <c r="X335" s="4">
        <f t="shared" si="281"/>
        <v>1.90920451095547</v>
      </c>
      <c r="Y335" s="4">
        <f t="shared" si="282"/>
        <v>-1.0195159462652</v>
      </c>
      <c r="Z335" t="str">
        <f t="shared" si="269"/>
        <v>0,998444258400747+0,0862968979995993i</v>
      </c>
      <c r="AA335" s="4">
        <f t="shared" si="283"/>
        <v>1.00216669857752</v>
      </c>
      <c r="AB335" s="4">
        <f t="shared" si="284"/>
        <v>0.0862170973807518</v>
      </c>
      <c r="AC335" s="67" t="str">
        <f t="shared" si="285"/>
        <v>-0,914146335451161-0,524040977425788i</v>
      </c>
      <c r="AD335" s="68">
        <f t="shared" si="286"/>
        <v>0.454334823591781</v>
      </c>
      <c r="AE335" s="31">
        <f t="shared" si="287"/>
        <v>-150.176198009403</v>
      </c>
      <c r="AF335" s="32" t="str">
        <f t="shared" si="288"/>
        <v>75,4669735059805</v>
      </c>
      <c r="AG335" s="32" t="str">
        <f t="shared" si="270"/>
        <v>1+17,4253351729961i</v>
      </c>
      <c r="AH335" s="32">
        <f t="shared" si="289"/>
        <v>17.4540054397624</v>
      </c>
      <c r="AI335" s="32">
        <f t="shared" si="290"/>
        <v>1.51347149652248</v>
      </c>
      <c r="AJ335" s="32" t="str">
        <f t="shared" si="271"/>
        <v>1+0,0185870241845291i</v>
      </c>
      <c r="AK335" s="32">
        <f t="shared" si="291"/>
        <v>1.00017272381726</v>
      </c>
      <c r="AL335" s="32">
        <f t="shared" si="292"/>
        <v>0.0185848841620914</v>
      </c>
      <c r="AM335" s="32" t="str">
        <f t="shared" si="272"/>
        <v>1-0,207809247880199i</v>
      </c>
      <c r="AN335" s="32">
        <f t="shared" si="293"/>
        <v>1.02136412875357</v>
      </c>
      <c r="AO335" s="32">
        <f t="shared" si="294"/>
        <v>-0.20489305177256</v>
      </c>
      <c r="AP335" s="30" t="str">
        <f t="shared" si="295"/>
        <v>-0,568127969763953-4,38020824809313i</v>
      </c>
      <c r="AQ335" s="32">
        <f t="shared" si="296"/>
        <v>12.9023486818547</v>
      </c>
      <c r="AR335" s="31">
        <f t="shared" si="297"/>
        <v>-97.3902008569823</v>
      </c>
      <c r="AS335" t="str">
        <f t="shared" si="273"/>
        <v>-0,000338461538461538</v>
      </c>
      <c r="AT335" t="str">
        <f t="shared" si="274"/>
        <v>0,0162686646579928i</v>
      </c>
      <c r="AU335">
        <f t="shared" si="298"/>
        <v>0.0162686646579928</v>
      </c>
      <c r="AV335">
        <f t="shared" si="299"/>
        <v>1.5707963267949</v>
      </c>
      <c r="AW335" t="str">
        <f t="shared" si="275"/>
        <v>1+2,64034404764083i</v>
      </c>
      <c r="AX335">
        <f t="shared" si="300"/>
        <v>2.82336974020626</v>
      </c>
      <c r="AY335">
        <f t="shared" si="301"/>
        <v>1.20875208418278</v>
      </c>
      <c r="AZ335" t="str">
        <f t="shared" si="276"/>
        <v>1+23,0479099888161i</v>
      </c>
      <c r="BA335">
        <f t="shared" si="302"/>
        <v>23.0695937296817</v>
      </c>
      <c r="BB335">
        <f t="shared" si="303"/>
        <v>1.52743564005448</v>
      </c>
      <c r="BC335" s="30" t="str">
        <f t="shared" si="304"/>
        <v>-0,0532614657256629+0,161433100425955i</v>
      </c>
      <c r="BD335" s="32">
        <f t="shared" si="305"/>
        <v>-15.3914078495644</v>
      </c>
      <c r="BE335" s="31">
        <f t="shared" si="306"/>
        <v>108.25922275167</v>
      </c>
      <c r="BF335" s="30" t="str">
        <f t="shared" si="307"/>
        <v>0,133286333449965-0,1196622866169i</v>
      </c>
      <c r="BG335" s="68">
        <f t="shared" si="308"/>
        <v>-14.9370730259726</v>
      </c>
      <c r="BH335" s="31">
        <f t="shared" si="309"/>
        <v>-41.9169752577333</v>
      </c>
      <c r="BI335" s="30" t="str">
        <f t="shared" si="316"/>
        <v>0,737369926390388+0,14158165187938i</v>
      </c>
      <c r="BJ335" s="68">
        <f t="shared" si="310"/>
        <v>-2.48905916770972</v>
      </c>
      <c r="BK335" s="31">
        <f t="shared" si="317"/>
        <v>10.8690218946879</v>
      </c>
      <c r="BL335" s="32">
        <f t="shared" si="311"/>
        <v>-14.9370730259726</v>
      </c>
      <c r="BM335" s="31">
        <f t="shared" si="312"/>
        <v>-41.9169752577333</v>
      </c>
      <c r="BO335">
        <f t="shared" si="313"/>
        <v>0</v>
      </c>
      <c r="BP335">
        <f t="shared" si="314"/>
        <v>0</v>
      </c>
    </row>
    <row r="336" spans="14:68">
      <c r="N336" s="7">
        <v>18</v>
      </c>
      <c r="O336" s="18">
        <f t="shared" si="318"/>
        <v>15135.6124843621</v>
      </c>
      <c r="P336" s="86" t="str">
        <f t="shared" si="265"/>
        <v>15</v>
      </c>
      <c r="Q336" s="4" t="str">
        <f t="shared" si="266"/>
        <v>1+27,7374585765981i</v>
      </c>
      <c r="R336" s="4">
        <f t="shared" si="277"/>
        <v>27.7554788877529</v>
      </c>
      <c r="S336" s="4">
        <f t="shared" si="278"/>
        <v>1.53475960490191</v>
      </c>
      <c r="T336" s="4" t="str">
        <f t="shared" si="267"/>
        <v>1+0,0190199715953816i</v>
      </c>
      <c r="U336" s="4">
        <f t="shared" si="279"/>
        <v>1.00018086330398</v>
      </c>
      <c r="V336" s="4">
        <f t="shared" si="280"/>
        <v>0.0190176785424206</v>
      </c>
      <c r="W336" t="str">
        <f t="shared" si="268"/>
        <v>1-1,66424751459589i</v>
      </c>
      <c r="X336" s="4">
        <f t="shared" si="281"/>
        <v>1.94157662476622</v>
      </c>
      <c r="Y336" s="4">
        <f t="shared" si="282"/>
        <v>-1.02973577865552</v>
      </c>
      <c r="Z336" t="str">
        <f t="shared" si="269"/>
        <v>0,998370938558032+0,088307010978557i</v>
      </c>
      <c r="AA336" s="4">
        <f t="shared" si="283"/>
        <v>1.00226875594584</v>
      </c>
      <c r="AB336" s="4">
        <f t="shared" si="284"/>
        <v>0.0882215114259951</v>
      </c>
      <c r="AC336" s="67" t="str">
        <f t="shared" si="285"/>
        <v>-0,914932421531313-0,509247998533775i</v>
      </c>
      <c r="AD336" s="68">
        <f t="shared" si="286"/>
        <v>0.399828350179489</v>
      </c>
      <c r="AE336" s="31">
        <f t="shared" si="287"/>
        <v>-150.899849608982</v>
      </c>
      <c r="AF336" s="32" t="str">
        <f t="shared" si="288"/>
        <v>75,4669735059805</v>
      </c>
      <c r="AG336" s="32" t="str">
        <f t="shared" si="270"/>
        <v>1+17,8312233706702i</v>
      </c>
      <c r="AH336" s="32">
        <f t="shared" si="289"/>
        <v>17.8592420582379</v>
      </c>
      <c r="AI336" s="32">
        <f t="shared" si="290"/>
        <v>1.51477360874446</v>
      </c>
      <c r="AJ336" s="32" t="str">
        <f t="shared" si="271"/>
        <v>1+0,0190199715953816i</v>
      </c>
      <c r="AK336" s="32">
        <f t="shared" si="291"/>
        <v>1.00018086330398</v>
      </c>
      <c r="AL336" s="32">
        <f t="shared" si="292"/>
        <v>0.0190176785424206</v>
      </c>
      <c r="AM336" s="32" t="str">
        <f t="shared" si="272"/>
        <v>1-0,212649747086941i</v>
      </c>
      <c r="AN336" s="32">
        <f t="shared" si="293"/>
        <v>1.02235997326585</v>
      </c>
      <c r="AO336" s="32">
        <f t="shared" si="294"/>
        <v>-0.209528665815131</v>
      </c>
      <c r="AP336" s="30" t="str">
        <f t="shared" si="295"/>
        <v>-0,579362945602968-4,28190304125453i</v>
      </c>
      <c r="AQ336" s="32">
        <f t="shared" si="296"/>
        <v>12.7115257754777</v>
      </c>
      <c r="AR336" s="31">
        <f t="shared" si="297"/>
        <v>-97.7056102204555</v>
      </c>
      <c r="AS336" t="str">
        <f t="shared" si="273"/>
        <v>-0,000338461538461538</v>
      </c>
      <c r="AT336" t="str">
        <f t="shared" si="274"/>
        <v>0,0166476105382896i</v>
      </c>
      <c r="AU336">
        <f t="shared" si="298"/>
        <v>0.0166476105382896</v>
      </c>
      <c r="AV336">
        <f t="shared" si="299"/>
        <v>1.5707963267949</v>
      </c>
      <c r="AW336" t="str">
        <f t="shared" si="275"/>
        <v>1+2,70184556116106i</v>
      </c>
      <c r="AX336">
        <f t="shared" si="300"/>
        <v>2.88096675377654</v>
      </c>
      <c r="AY336">
        <f t="shared" si="301"/>
        <v>1.21631316603285</v>
      </c>
      <c r="AZ336" t="str">
        <f t="shared" si="276"/>
        <v>1+23,5847647782731i</v>
      </c>
      <c r="BA336">
        <f t="shared" si="302"/>
        <v>23.6059553851665</v>
      </c>
      <c r="BB336">
        <f t="shared" si="303"/>
        <v>1.5284214549453</v>
      </c>
      <c r="BC336" s="30" t="str">
        <f t="shared" si="304"/>
        <v>-0,051153120510845+0,15853876963738i</v>
      </c>
      <c r="BD336" s="32">
        <f t="shared" si="305"/>
        <v>-15.5671849530592</v>
      </c>
      <c r="BE336" s="31">
        <f t="shared" si="306"/>
        <v>107.882487705733</v>
      </c>
      <c r="BF336" s="30" t="str">
        <f t="shared" si="307"/>
        <v>0,127537199545713-0,119002636172018i</v>
      </c>
      <c r="BG336" s="68">
        <f t="shared" si="308"/>
        <v>-15.1673566028798</v>
      </c>
      <c r="BH336" s="31">
        <f t="shared" si="309"/>
        <v>-43.0173619032485</v>
      </c>
      <c r="BI336" s="30" t="str">
        <f t="shared" si="316"/>
        <v>0,708483862442996+0,127181213715664i</v>
      </c>
      <c r="BJ336" s="68">
        <f t="shared" si="310"/>
        <v>-2.85565917758154</v>
      </c>
      <c r="BK336" s="31">
        <f t="shared" si="317"/>
        <v>10.1768774852777</v>
      </c>
      <c r="BL336" s="32">
        <f t="shared" si="311"/>
        <v>-15.1673566028798</v>
      </c>
      <c r="BM336" s="31">
        <f t="shared" si="312"/>
        <v>-43.0173619032485</v>
      </c>
      <c r="BO336">
        <f t="shared" si="313"/>
        <v>0</v>
      </c>
      <c r="BP336">
        <f t="shared" si="314"/>
        <v>0</v>
      </c>
    </row>
    <row r="337" spans="14:68">
      <c r="N337" s="7">
        <v>19</v>
      </c>
      <c r="O337" s="18">
        <f t="shared" si="318"/>
        <v>15488.1661891249</v>
      </c>
      <c r="P337" s="86" t="str">
        <f t="shared" si="265"/>
        <v>15</v>
      </c>
      <c r="Q337" s="4" t="str">
        <f t="shared" si="266"/>
        <v>1+28,3835469851106i</v>
      </c>
      <c r="R337" s="4">
        <f t="shared" si="277"/>
        <v>28.4011573612059</v>
      </c>
      <c r="S337" s="4">
        <f t="shared" si="278"/>
        <v>1.53557921487625</v>
      </c>
      <c r="T337" s="4" t="str">
        <f t="shared" si="267"/>
        <v>1+0,019463003646933i</v>
      </c>
      <c r="U337" s="4">
        <f t="shared" si="279"/>
        <v>1.00018938632189</v>
      </c>
      <c r="V337" s="4">
        <f t="shared" si="280"/>
        <v>0.019460546621544</v>
      </c>
      <c r="W337" t="str">
        <f t="shared" si="268"/>
        <v>1-1,70301281910664i</v>
      </c>
      <c r="X337" s="4">
        <f t="shared" si="281"/>
        <v>1.97490573497611</v>
      </c>
      <c r="Y337" s="4">
        <f t="shared" si="282"/>
        <v>-1.03984574459415</v>
      </c>
      <c r="Z337" t="str">
        <f t="shared" si="269"/>
        <v>0,998294163257586+0,0903639455036171i</v>
      </c>
      <c r="AA337" s="4">
        <f t="shared" si="283"/>
        <v>1.00237561774075</v>
      </c>
      <c r="AB337" s="4">
        <f t="shared" si="284"/>
        <v>0.0902723404502096</v>
      </c>
      <c r="AC337" s="67" t="str">
        <f t="shared" si="285"/>
        <v>-0,915666013223133-0,494722985635207i</v>
      </c>
      <c r="AD337" s="68">
        <f t="shared" si="286"/>
        <v>0.347066788440876</v>
      </c>
      <c r="AE337" s="31">
        <f t="shared" si="287"/>
        <v>-151.618197556438</v>
      </c>
      <c r="AF337" s="32" t="str">
        <f t="shared" si="288"/>
        <v>75,4669735059805</v>
      </c>
      <c r="AG337" s="32" t="str">
        <f t="shared" si="270"/>
        <v>1+18,2465659189997i</v>
      </c>
      <c r="AH337" s="32">
        <f t="shared" si="289"/>
        <v>18.2739477901301</v>
      </c>
      <c r="AI337" s="32">
        <f t="shared" si="290"/>
        <v>1.51604626506008</v>
      </c>
      <c r="AJ337" s="32" t="str">
        <f t="shared" si="271"/>
        <v>1+0,019463003646933i</v>
      </c>
      <c r="AK337" s="32">
        <f t="shared" si="291"/>
        <v>1.00018938632189</v>
      </c>
      <c r="AL337" s="32">
        <f t="shared" si="292"/>
        <v>0.019460546621544</v>
      </c>
      <c r="AM337" s="32" t="str">
        <f t="shared" si="272"/>
        <v>1-0,217602996004342i</v>
      </c>
      <c r="AN337" s="32">
        <f t="shared" si="293"/>
        <v>1.02340171187568</v>
      </c>
      <c r="AO337" s="32">
        <f t="shared" si="294"/>
        <v>-0.214262813462761</v>
      </c>
      <c r="AP337" s="30" t="str">
        <f t="shared" si="295"/>
        <v>-0,590095364053942-4,18581159500541i</v>
      </c>
      <c r="AQ337" s="32">
        <f t="shared" si="296"/>
        <v>12.5210586911872</v>
      </c>
      <c r="AR337" s="31">
        <f t="shared" si="297"/>
        <v>-98.0244002640973</v>
      </c>
      <c r="AS337" t="str">
        <f t="shared" si="273"/>
        <v>-0,000338461538461538</v>
      </c>
      <c r="AT337" t="str">
        <f t="shared" si="274"/>
        <v>0,017035383202051i</v>
      </c>
      <c r="AU337">
        <f t="shared" si="298"/>
        <v>0.017035383202051</v>
      </c>
      <c r="AV337">
        <f t="shared" si="299"/>
        <v>1.5707963267949</v>
      </c>
      <c r="AW337" t="str">
        <f t="shared" si="275"/>
        <v>1+2,76477962896098i</v>
      </c>
      <c r="AX337">
        <f t="shared" si="300"/>
        <v>2.94006911427565</v>
      </c>
      <c r="AY337">
        <f t="shared" si="301"/>
        <v>1.22374325498759</v>
      </c>
      <c r="AZ337" t="str">
        <f t="shared" si="276"/>
        <v>1+24,1341245221969i</v>
      </c>
      <c r="BA337">
        <f t="shared" si="302"/>
        <v>24.1548331903349</v>
      </c>
      <c r="BB337">
        <f t="shared" si="303"/>
        <v>1.52938490958942</v>
      </c>
      <c r="BC337" s="30" t="str">
        <f t="shared" si="304"/>
        <v>-0,049117193732754+0,155666366059173i</v>
      </c>
      <c r="BD337" s="32">
        <f t="shared" si="305"/>
        <v>-15.743921604007</v>
      </c>
      <c r="BE337" s="31">
        <f t="shared" si="306"/>
        <v>107.51197685208</v>
      </c>
      <c r="BF337" s="30" t="str">
        <f t="shared" si="307"/>
        <v>0,121986674345756-0,118238996072845i</v>
      </c>
      <c r="BG337" s="68">
        <f t="shared" si="308"/>
        <v>-15.3968548155661</v>
      </c>
      <c r="BH337" s="31">
        <f t="shared" si="309"/>
        <v>-44.1062207043581</v>
      </c>
      <c r="BI337" s="30" t="str">
        <f t="shared" si="316"/>
        <v>0,68057390831988+0,113737318090047i</v>
      </c>
      <c r="BJ337" s="68">
        <f t="shared" si="310"/>
        <v>-3.22286291281975</v>
      </c>
      <c r="BK337" s="31">
        <f t="shared" si="317"/>
        <v>9.48757658798248</v>
      </c>
      <c r="BL337" s="32">
        <f t="shared" si="311"/>
        <v>-15.3968548155661</v>
      </c>
      <c r="BM337" s="31">
        <f t="shared" si="312"/>
        <v>-44.1062207043581</v>
      </c>
      <c r="BO337">
        <f t="shared" si="313"/>
        <v>0</v>
      </c>
      <c r="BP337">
        <f t="shared" si="314"/>
        <v>0</v>
      </c>
    </row>
    <row r="338" spans="14:68">
      <c r="N338" s="7">
        <v>20</v>
      </c>
      <c r="O338" s="18">
        <f t="shared" si="318"/>
        <v>15848.9319246111</v>
      </c>
      <c r="P338" s="86" t="str">
        <f t="shared" si="265"/>
        <v>15</v>
      </c>
      <c r="Q338" s="4" t="str">
        <f t="shared" si="266"/>
        <v>1+29,0446847259351i</v>
      </c>
      <c r="R338" s="4">
        <f t="shared" si="277"/>
        <v>29.0618944810721</v>
      </c>
      <c r="S338" s="4">
        <f t="shared" si="278"/>
        <v>1.53638021399107</v>
      </c>
      <c r="T338" s="4" t="str">
        <f t="shared" si="267"/>
        <v>1+0,0199163552406412i</v>
      </c>
      <c r="U338" s="4">
        <f t="shared" si="279"/>
        <v>1.00019831093942</v>
      </c>
      <c r="V338" s="4">
        <f t="shared" si="280"/>
        <v>0.0199137225186952</v>
      </c>
      <c r="W338" t="str">
        <f t="shared" si="268"/>
        <v>1-1,74268108355611i</v>
      </c>
      <c r="X338" s="4">
        <f t="shared" si="281"/>
        <v>2.00921311935402</v>
      </c>
      <c r="Y338" s="4">
        <f t="shared" si="282"/>
        <v>-1.04984293716472</v>
      </c>
      <c r="Z338" t="str">
        <f t="shared" si="269"/>
        <v>0,998213769648704+0,0924687921886912i</v>
      </c>
      <c r="AA338" s="4">
        <f t="shared" si="283"/>
        <v>1.00248750986988</v>
      </c>
      <c r="AB338" s="4">
        <f t="shared" si="284"/>
        <v>0.09237064611355</v>
      </c>
      <c r="AC338" s="67" t="str">
        <f t="shared" si="285"/>
        <v>-0,916348661593165-0,480458526548231i</v>
      </c>
      <c r="AD338" s="68">
        <f t="shared" si="286"/>
        <v>0.296009782990918</v>
      </c>
      <c r="AE338" s="31">
        <f t="shared" si="287"/>
        <v>-152.331147358738</v>
      </c>
      <c r="AF338" s="32" t="str">
        <f t="shared" si="288"/>
        <v>75,4669735059805</v>
      </c>
      <c r="AG338" s="32" t="str">
        <f t="shared" si="270"/>
        <v>1+18,6715830381012i</v>
      </c>
      <c r="AH338" s="32">
        <f t="shared" si="289"/>
        <v>18.6983425241038</v>
      </c>
      <c r="AI338" s="32">
        <f t="shared" si="290"/>
        <v>1.51729012374912</v>
      </c>
      <c r="AJ338" s="32" t="str">
        <f t="shared" si="271"/>
        <v>1+0,0199163552406412i</v>
      </c>
      <c r="AK338" s="32">
        <f t="shared" si="291"/>
        <v>1.00019831093942</v>
      </c>
      <c r="AL338" s="32">
        <f t="shared" si="292"/>
        <v>0.0199137225186952</v>
      </c>
      <c r="AM338" s="32" t="str">
        <f t="shared" si="272"/>
        <v>1-0,22267162091054i</v>
      </c>
      <c r="AN338" s="32">
        <f t="shared" si="293"/>
        <v>1.0244914107785</v>
      </c>
      <c r="AO338" s="32">
        <f t="shared" si="294"/>
        <v>-0.219097155611174</v>
      </c>
      <c r="AP338" s="30" t="str">
        <f t="shared" si="295"/>
        <v>-0,600347572372637-4,09188671323014i</v>
      </c>
      <c r="AQ338" s="32">
        <f t="shared" si="296"/>
        <v>12.330965219298</v>
      </c>
      <c r="AR338" s="31">
        <f t="shared" si="297"/>
        <v>-98.3466904528324</v>
      </c>
      <c r="AS338" t="str">
        <f t="shared" si="273"/>
        <v>-0,000338461538461538</v>
      </c>
      <c r="AT338" t="str">
        <f t="shared" si="274"/>
        <v>0,0174321882514761i</v>
      </c>
      <c r="AU338">
        <f t="shared" si="298"/>
        <v>0.0174321882514761</v>
      </c>
      <c r="AV338">
        <f t="shared" si="299"/>
        <v>1.5707963267949</v>
      </c>
      <c r="AW338" t="str">
        <f t="shared" si="275"/>
        <v>1+2,82917961951635i</v>
      </c>
      <c r="AX338">
        <f t="shared" si="300"/>
        <v>3.00070946935665</v>
      </c>
      <c r="AY338">
        <f t="shared" si="301"/>
        <v>1.23104300810253</v>
      </c>
      <c r="AZ338" t="str">
        <f t="shared" si="276"/>
        <v>1+24,6962804983951i</v>
      </c>
      <c r="BA338">
        <f t="shared" si="302"/>
        <v>24.7165181701511</v>
      </c>
      <c r="BB338">
        <f t="shared" si="303"/>
        <v>1.53032650766459</v>
      </c>
      <c r="BC338" s="30" t="str">
        <f t="shared" si="304"/>
        <v>-0,0471520661560733+0,152817559687275i</v>
      </c>
      <c r="BD338" s="32">
        <f t="shared" si="305"/>
        <v>-15.9215848086197</v>
      </c>
      <c r="BE338" s="31">
        <f t="shared" si="306"/>
        <v>107.147681402811</v>
      </c>
      <c r="BF338" s="30" t="str">
        <f t="shared" si="307"/>
        <v>0,116630232271515-0,117379554058316i</v>
      </c>
      <c r="BG338" s="68">
        <f t="shared" si="308"/>
        <v>-15.6255750256288</v>
      </c>
      <c r="BH338" s="31">
        <f t="shared" si="309"/>
        <v>-45.1834659559267</v>
      </c>
      <c r="BI338" s="30" t="str">
        <f t="shared" si="316"/>
        <v>0,653619770481767+0,101197262031219i</v>
      </c>
      <c r="BJ338" s="68">
        <f t="shared" si="310"/>
        <v>-3.59061958932167</v>
      </c>
      <c r="BK338" s="31">
        <f t="shared" si="317"/>
        <v>8.80099094997901</v>
      </c>
      <c r="BL338" s="32">
        <f t="shared" si="311"/>
        <v>-15.6255750256288</v>
      </c>
      <c r="BM338" s="31">
        <f t="shared" si="312"/>
        <v>-45.1834659559267</v>
      </c>
      <c r="BO338">
        <f t="shared" si="313"/>
        <v>0</v>
      </c>
      <c r="BP338">
        <f t="shared" si="314"/>
        <v>0</v>
      </c>
    </row>
    <row r="339" spans="14:68">
      <c r="N339" s="7">
        <v>21</v>
      </c>
      <c r="O339" s="18">
        <f t="shared" si="318"/>
        <v>16218.1009735893</v>
      </c>
      <c r="P339" s="86" t="str">
        <f t="shared" ref="P339:P402" si="319">COMPLEX(Adc,0)</f>
        <v>15</v>
      </c>
      <c r="Q339" s="4" t="str">
        <f t="shared" ref="Q339:Q402" si="320">IMSUM(COMPLEX(1,0),IMDIV(COMPLEX(0,2*PI()*O339),COMPLEX(wp_lf,0)))</f>
        <v>1+29,7212223430532i</v>
      </c>
      <c r="R339" s="4">
        <f t="shared" si="277"/>
        <v>29.738040580462</v>
      </c>
      <c r="S339" s="4">
        <f t="shared" si="278"/>
        <v>1.53716302283301</v>
      </c>
      <c r="T339" s="4" t="str">
        <f t="shared" ref="T339:T402" si="321">IMSUM(COMPLEX(1,0),IMDIV(COMPLEX(0,2*PI()*O339),COMPLEX(wz_esr,0)))</f>
        <v>1+0,0203802667495222i</v>
      </c>
      <c r="U339" s="4">
        <f t="shared" si="279"/>
        <v>1.00020765607587</v>
      </c>
      <c r="V339" s="4">
        <f t="shared" si="280"/>
        <v>0.0203774457687627</v>
      </c>
      <c r="W339" t="str">
        <f t="shared" ref="W339:W402" si="322">IMSUB(COMPLEX(1,0),IMDIV(COMPLEX(0,2*PI()*O339),COMPLEX(wz_rhp,0)))</f>
        <v>1-1,78327334058319i</v>
      </c>
      <c r="X339" s="4">
        <f t="shared" si="281"/>
        <v>2.04452043453587</v>
      </c>
      <c r="Y339" s="4">
        <f t="shared" si="282"/>
        <v>-1.05972466315068</v>
      </c>
      <c r="Z339" t="str">
        <f t="shared" ref="Z339:Z402" si="323">IMSUM(COMPLEX(1,0),IMDIV(COMPLEX(0,2*PI()*O339),COMPLEX(Q*(wsl/2),0)),IMDIV(IMPOWER(COMPLEX(0,2*PI()*O339),2),IMPOWER(COMPLEX(wsl/2,0),2)))</f>
        <v>0,998129587205763+0,0946226670513528i</v>
      </c>
      <c r="AA339" s="4">
        <f t="shared" si="283"/>
        <v>1.00260466883785</v>
      </c>
      <c r="AB339" s="4">
        <f t="shared" si="284"/>
        <v>0.0945175134240957</v>
      </c>
      <c r="AC339" s="67" t="str">
        <f t="shared" si="285"/>
        <v>-0,916981811927771-0,466447338833217i</v>
      </c>
      <c r="AD339" s="68">
        <f t="shared" si="286"/>
        <v>0.246616335013277</v>
      </c>
      <c r="AE339" s="31">
        <f t="shared" si="287"/>
        <v>-153.038617245825</v>
      </c>
      <c r="AF339" s="32" t="str">
        <f t="shared" si="288"/>
        <v>75,4669735059805</v>
      </c>
      <c r="AG339" s="32" t="str">
        <f t="shared" ref="AG339:AG402" si="324">IMSUM(COMPLEX(1,0),IMDIV(COMPLEX(0,2*PI()*O339),COMPLEX(wp_lf_DCM,0)))</f>
        <v>1+19,1065000776771i</v>
      </c>
      <c r="AH339" s="32">
        <f t="shared" si="289"/>
        <v>19.1326512856498</v>
      </c>
      <c r="AI339" s="32">
        <f t="shared" si="290"/>
        <v>1.51850582891736</v>
      </c>
      <c r="AJ339" s="32" t="str">
        <f t="shared" ref="AJ339:AJ402" si="325">IMSUM(COMPLEX(1,0),IMDIV(COMPLEX(0,2*PI()*O339),COMPLEX(wz1_dcm,0)))</f>
        <v>1+0,0203802667495222i</v>
      </c>
      <c r="AK339" s="32">
        <f t="shared" si="291"/>
        <v>1.00020765607587</v>
      </c>
      <c r="AL339" s="32">
        <f t="shared" si="292"/>
        <v>0.0203774457687627</v>
      </c>
      <c r="AM339" s="32" t="str">
        <f t="shared" ref="AM339:AM402" si="326">IMSUB(COMPLEX(1,0),IMDIV(COMPLEX(0,2*PI()*O339),COMPLEX(wz2_dcm,0)))</f>
        <v>1-0,227858309257552i</v>
      </c>
      <c r="AN339" s="32">
        <f t="shared" si="293"/>
        <v>1.02563122470882</v>
      </c>
      <c r="AO339" s="32">
        <f t="shared" si="294"/>
        <v>-0.224033351216982</v>
      </c>
      <c r="AP339" s="30" t="str">
        <f t="shared" si="295"/>
        <v>-0,610140935762309-4,00008210048967i</v>
      </c>
      <c r="AQ339" s="32">
        <f t="shared" si="296"/>
        <v>12.1412637249774</v>
      </c>
      <c r="AR339" s="31">
        <f t="shared" si="297"/>
        <v>-98.6725990180776</v>
      </c>
      <c r="AS339" t="str">
        <f t="shared" ref="AS339:AS402" si="327">COMPLEX(Adc_ea,0)</f>
        <v>-0,000338461538461538</v>
      </c>
      <c r="AT339" t="str">
        <f t="shared" ref="AT339:AT402" si="328">COMPLEX(0,2*PI()*O339*wp0_ea)</f>
        <v>0,0178382360778543i</v>
      </c>
      <c r="AU339">
        <f t="shared" si="298"/>
        <v>0.0178382360778543</v>
      </c>
      <c r="AV339">
        <f t="shared" si="299"/>
        <v>1.5707963267949</v>
      </c>
      <c r="AW339" t="str">
        <f t="shared" ref="AW339:AW402" si="329">IMSUM(COMPLEX(1,0),IMDIV(COMPLEX(0,2*PI()*O339),COMPLEX(wp1_ea,0)))</f>
        <v>1+2,89507967855461i</v>
      </c>
      <c r="AX339">
        <f t="shared" si="300"/>
        <v>3.06292121106304</v>
      </c>
      <c r="AY339">
        <f t="shared" si="301"/>
        <v>1.238213183025</v>
      </c>
      <c r="AZ339" t="str">
        <f t="shared" ref="AZ339:AZ402" si="330">IMSUM(COMPLEX(1,0),IMDIV(COMPLEX(0,2*PI()*O339),COMPLEX(wz_ea,0)))</f>
        <v>1+25,2715307694075i</v>
      </c>
      <c r="BA339">
        <f t="shared" si="302"/>
        <v>25.2913081399344</v>
      </c>
      <c r="BB339">
        <f t="shared" si="303"/>
        <v>1.53124674173614</v>
      </c>
      <c r="BC339" s="30" t="str">
        <f t="shared" si="304"/>
        <v>-0,0452560842912578+0,149993905332885i</v>
      </c>
      <c r="BD339" s="32">
        <f t="shared" si="305"/>
        <v>-16.1001423111416</v>
      </c>
      <c r="BE339" s="31">
        <f t="shared" si="306"/>
        <v>106.789586169847</v>
      </c>
      <c r="BF339" s="30" t="str">
        <f t="shared" si="307"/>
        <v>0,111463264157879-0,116432103006602i</v>
      </c>
      <c r="BG339" s="68">
        <f t="shared" si="308"/>
        <v>-15.8535259761283</v>
      </c>
      <c r="BH339" s="31">
        <f t="shared" si="309"/>
        <v>-46.2490310759775</v>
      </c>
      <c r="BI339" s="30" t="str">
        <f t="shared" si="316"/>
        <v>0,627600525523021+0,0895106309532624i</v>
      </c>
      <c r="BJ339" s="68">
        <f t="shared" si="310"/>
        <v>-3.95887858616414</v>
      </c>
      <c r="BK339" s="31">
        <f t="shared" si="317"/>
        <v>8.11698715176986</v>
      </c>
      <c r="BL339" s="32">
        <f t="shared" si="311"/>
        <v>-15.8535259761283</v>
      </c>
      <c r="BM339" s="31">
        <f t="shared" si="312"/>
        <v>-46.2490310759775</v>
      </c>
      <c r="BO339">
        <f t="shared" si="313"/>
        <v>0</v>
      </c>
      <c r="BP339">
        <f t="shared" si="314"/>
        <v>0</v>
      </c>
    </row>
    <row r="340" spans="14:68">
      <c r="N340" s="7">
        <v>22</v>
      </c>
      <c r="O340" s="18">
        <f t="shared" si="318"/>
        <v>16595.8690743756</v>
      </c>
      <c r="P340" s="86" t="str">
        <f t="shared" si="319"/>
        <v>15</v>
      </c>
      <c r="Q340" s="4" t="str">
        <f t="shared" si="320"/>
        <v>1+30,4135185456646i</v>
      </c>
      <c r="R340" s="4">
        <f t="shared" ref="R340:R403" si="331">IMABS(Q340)</f>
        <v>30.4299541624283</v>
      </c>
      <c r="S340" s="4">
        <f t="shared" ref="S340:S403" si="332">IMARGUMENT(Q340)</f>
        <v>1.5379280526179</v>
      </c>
      <c r="T340" s="4" t="str">
        <f t="shared" si="321"/>
        <v>1+0,0208549841455986i</v>
      </c>
      <c r="U340" s="4">
        <f t="shared" ref="U340:U403" si="333">IMABS(T340)</f>
        <v>1.00021744154144</v>
      </c>
      <c r="V340" s="4">
        <f t="shared" ref="V340:V403" si="334">IMARGUMENT(T340)</f>
        <v>0.0208519614457445</v>
      </c>
      <c r="W340" t="str">
        <f t="shared" si="322"/>
        <v>1-1,82481111273988i</v>
      </c>
      <c r="X340" s="4">
        <f t="shared" ref="X340:X403" si="335">IMABS(W340)</f>
        <v>2.08084972960062</v>
      </c>
      <c r="Y340" s="4">
        <f t="shared" ref="Y340:Y403" si="336">IMARGUMENT(W340)</f>
        <v>-1.06948844182305</v>
      </c>
      <c r="Z340" t="str">
        <f t="shared" si="323"/>
        <v>0,998041437366515+0,0968267121045646i</v>
      </c>
      <c r="AA340" s="4">
        <f t="shared" ref="AA340:AA403" si="337">IMABS(Z340)</f>
        <v>1.00272734224095</v>
      </c>
      <c r="AB340" s="4">
        <f t="shared" ref="AB340:AB403" si="338">IMARGUMENT(Z340)</f>
        <v>0.0967140511843729</v>
      </c>
      <c r="AC340" s="67" t="str">
        <f t="shared" ref="AC340:AC403" si="339">(IMDIV(IMPRODUCT(P340,T340,W340),IMPRODUCT(Q340,Z340)))</f>
        <v>-0,917566806774628-0,452682267246808i</v>
      </c>
      <c r="AD340" s="68">
        <f t="shared" ref="AD340:AD403" si="340">20*LOG(IMABS(AC340))</f>
        <v>0.198844905595993</v>
      </c>
      <c r="AE340" s="31">
        <f t="shared" ref="AE340:AE403" si="341">(180/PI())*IMARGUMENT(AC340)</f>
        <v>-153.740538131329</v>
      </c>
      <c r="AF340" s="32" t="str">
        <f t="shared" ref="AF340:AF403" si="342">COMPLEX($B$68,0)</f>
        <v>75,4669735059805</v>
      </c>
      <c r="AG340" s="32" t="str">
        <f t="shared" si="324"/>
        <v>1+19,5515476364987i</v>
      </c>
      <c r="AH340" s="32">
        <f t="shared" ref="AH340:AH403" si="343">IMABS(AG340)</f>
        <v>19.577104356423</v>
      </c>
      <c r="AI340" s="32">
        <f t="shared" ref="AI340:AI403" si="344">IMARGUMENT(AG340)</f>
        <v>1.51969401076572</v>
      </c>
      <c r="AJ340" s="32" t="str">
        <f t="shared" si="325"/>
        <v>1+0,0208549841455986i</v>
      </c>
      <c r="AK340" s="32">
        <f t="shared" ref="AK340:AK403" si="345">IMABS(AJ340)</f>
        <v>1.00021744154144</v>
      </c>
      <c r="AL340" s="32">
        <f t="shared" ref="AL340:AL403" si="346">IMARGUMENT(AJ340)</f>
        <v>0.0208519614457445</v>
      </c>
      <c r="AM340" s="32" t="str">
        <f t="shared" si="326"/>
        <v>1-0,233165811096194i</v>
      </c>
      <c r="AN340" s="32">
        <f t="shared" ref="AN340:AN403" si="347">IMABS(AM340)</f>
        <v>1.02682340032946</v>
      </c>
      <c r="AO340" s="32">
        <f t="shared" ref="AO340:AO403" si="348">IMARGUMENT(AM340)</f>
        <v>-0.229073054877157</v>
      </c>
      <c r="AP340" s="30" t="str">
        <f t="shared" ref="AP340:AP403" si="349">(IMDIV(IMPRODUCT(AF340,AJ340,AM340),IMPRODUCT(AG340)))</f>
        <v>-0,619495879504289-3,91035235377063i</v>
      </c>
      <c r="AQ340" s="32">
        <f t="shared" ref="AQ340:AQ403" si="350">20*LOG(IMABS(AP340))</f>
        <v>11.9519731680471</v>
      </c>
      <c r="AR340" s="31">
        <f t="shared" ref="AR340:AR403" si="351">(180/PI())*IMARGUMENT(AP340)</f>
        <v>-99.0022428274034</v>
      </c>
      <c r="AS340" t="str">
        <f t="shared" si="327"/>
        <v>-0,000338461538461538</v>
      </c>
      <c r="AT340" t="str">
        <f t="shared" si="328"/>
        <v>0,0182537419731181i</v>
      </c>
      <c r="AU340">
        <f t="shared" ref="AU340:AU403" si="352">IMABS(AT340)</f>
        <v>0.0182537419731181</v>
      </c>
      <c r="AV340">
        <f t="shared" ref="AV340:AV403" si="353">IMARGUMENT(AT340)</f>
        <v>1.5707963267949</v>
      </c>
      <c r="AW340" t="str">
        <f t="shared" si="329"/>
        <v>1+2,96251474715936i</v>
      </c>
      <c r="AX340">
        <f t="shared" ref="AX340:AX403" si="354">IMABS(AW340)</f>
        <v>3.12673849676251</v>
      </c>
      <c r="AY340">
        <f t="shared" ref="AY340:AY403" si="355">IMARGUMENT(AW340)</f>
        <v>1.24525463151066</v>
      </c>
      <c r="AZ340" t="str">
        <f t="shared" si="330"/>
        <v>1+25,8601803405423i</v>
      </c>
      <c r="BA340">
        <f t="shared" ref="BA340:BA403" si="356">IMABS(AZ340)</f>
        <v>25.8795078632761</v>
      </c>
      <c r="BB340">
        <f t="shared" ref="BB340:BB403" si="357">IMARGUMENT(AZ340)</f>
        <v>1.53214609348655</v>
      </c>
      <c r="BC340" s="30" t="str">
        <f t="shared" ref="BC340:BC403" si="358">IMPRODUCT(AS340,IMDIV(AZ340,IMPRODUCT(AT340,AW340)))</f>
        <v>-0,0434275674906865+0,147196844996294i</v>
      </c>
      <c r="BD340" s="32">
        <f t="shared" ref="BD340:BD403" si="359">20*LOG(IMABS(BC340))</f>
        <v>-16.2795626097666</v>
      </c>
      <c r="BE340" s="31">
        <f t="shared" ref="BE340:BE403" si="360">(180/PI())*IMARGUMENT(BC340)</f>
        <v>106.437669949557</v>
      </c>
      <c r="BF340" s="30" t="str">
        <f t="shared" ref="BF340:BF403" si="361">IMPRODUCT(AC340,BC340)</f>
        <v>0,106481095952918-0,115404049317852i</v>
      </c>
      <c r="BG340" s="68">
        <f t="shared" ref="BG340:BG403" si="362">20*LOG(IMABS(BF340))</f>
        <v>-16.0807177041706</v>
      </c>
      <c r="BH340" s="31">
        <f t="shared" ref="BH340:BH403" si="363">(180/PI())*IMARGUMENT(BF340)</f>
        <v>-47.3028681817728</v>
      </c>
      <c r="BI340" s="30" t="str">
        <f t="shared" si="316"/>
        <v>0,602494728416244+0,0786292518045032i</v>
      </c>
      <c r="BJ340" s="68">
        <f t="shared" ref="BJ340:BJ403" si="364">20*LOG(IMABS(BI340))</f>
        <v>-4.32758944171945</v>
      </c>
      <c r="BK340" s="31">
        <f t="shared" si="317"/>
        <v>7.43542712215313</v>
      </c>
      <c r="BL340" s="32">
        <f t="shared" ref="BL340:BL403" si="365">IF($B$31=0,BJ340,BG340)</f>
        <v>-16.0807177041706</v>
      </c>
      <c r="BM340" s="31">
        <f t="shared" ref="BM340:BM403" si="366">IF($B$31=0,BK340,BH340)</f>
        <v>-47.3028681817728</v>
      </c>
      <c r="BO340">
        <f t="shared" ref="BO340:BO403" si="367">SUM((BL341&lt;0)*(BL340&gt;0))*O340</f>
        <v>0</v>
      </c>
      <c r="BP340">
        <f t="shared" ref="BP340:BP403" si="368">IF(BO340&gt;0,BM340,0)</f>
        <v>0</v>
      </c>
    </row>
    <row r="341" spans="14:68">
      <c r="N341" s="7">
        <v>23</v>
      </c>
      <c r="O341" s="18">
        <f t="shared" si="318"/>
        <v>16982.4365246175</v>
      </c>
      <c r="P341" s="86" t="str">
        <f t="shared" si="319"/>
        <v>15</v>
      </c>
      <c r="Q341" s="4" t="str">
        <f t="shared" si="320"/>
        <v>1+31,1219403983795i</v>
      </c>
      <c r="R341" s="4">
        <f t="shared" si="331"/>
        <v>31.1380020900553</v>
      </c>
      <c r="S341" s="4">
        <f t="shared" si="332"/>
        <v>1.53867570539062</v>
      </c>
      <c r="T341" s="4" t="str">
        <f t="shared" si="321"/>
        <v>1+0,0213407591303174i</v>
      </c>
      <c r="U341" s="4">
        <f t="shared" si="333"/>
        <v>1.0002276880792</v>
      </c>
      <c r="V341" s="4">
        <f t="shared" si="334"/>
        <v>0.0213375202888886</v>
      </c>
      <c r="W341" t="str">
        <f t="shared" si="322"/>
        <v>1-1,86731642390277i</v>
      </c>
      <c r="X341" s="4">
        <f t="shared" si="335"/>
        <v>2.11822346011393</v>
      </c>
      <c r="Y341" s="4">
        <f t="shared" si="336"/>
        <v>-1.07913200298382</v>
      </c>
      <c r="Z341" t="str">
        <f t="shared" si="323"/>
        <v>0,997949133153332+0,0990820959621876i</v>
      </c>
      <c r="AA341" s="4">
        <f t="shared" si="337"/>
        <v>1.00285578928465</v>
      </c>
      <c r="AB341" s="4">
        <f t="shared" si="338"/>
        <v>0.0989613924414941</v>
      </c>
      <c r="AC341" s="67" t="str">
        <f t="shared" si="339"/>
        <v>-0,918104888785037-0,439156281228905i</v>
      </c>
      <c r="AD341" s="68">
        <f t="shared" si="340"/>
        <v>0.152653515598865</v>
      </c>
      <c r="AE341" s="31">
        <f t="shared" si="341"/>
        <v>-154.436853530477</v>
      </c>
      <c r="AF341" s="32" t="str">
        <f t="shared" si="342"/>
        <v>75,4669735059805</v>
      </c>
      <c r="AG341" s="32" t="str">
        <f t="shared" si="324"/>
        <v>1+20,0069616846726i</v>
      </c>
      <c r="AH341" s="32">
        <f t="shared" si="343"/>
        <v>20.0319373963668</v>
      </c>
      <c r="AI341" s="32">
        <f t="shared" si="344"/>
        <v>1.52085528585675</v>
      </c>
      <c r="AJ341" s="32" t="str">
        <f t="shared" si="325"/>
        <v>1+0,0213407591303174i</v>
      </c>
      <c r="AK341" s="32">
        <f t="shared" si="345"/>
        <v>1.0002276880792</v>
      </c>
      <c r="AL341" s="32">
        <f t="shared" si="346"/>
        <v>0.0213375202888886</v>
      </c>
      <c r="AM341" s="32" t="str">
        <f t="shared" si="326"/>
        <v>1-0,238596940534195i</v>
      </c>
      <c r="AN341" s="32">
        <f t="shared" si="347"/>
        <v>1.02807027971451</v>
      </c>
      <c r="AO341" s="32">
        <f t="shared" si="348"/>
        <v>-0.234217914239278</v>
      </c>
      <c r="AP341" s="30" t="str">
        <f t="shared" si="349"/>
        <v>-0,628431929371909-3,82265295364824i</v>
      </c>
      <c r="AQ341" s="32">
        <f t="shared" si="350"/>
        <v>11.7631131224916</v>
      </c>
      <c r="AR341" s="31">
        <f t="shared" si="351"/>
        <v>-99.3357372441936</v>
      </c>
      <c r="AS341" t="str">
        <f t="shared" si="327"/>
        <v>-0,000338461538461538</v>
      </c>
      <c r="AT341" t="str">
        <f t="shared" si="328"/>
        <v>0,0186789262439928i</v>
      </c>
      <c r="AU341">
        <f t="shared" si="352"/>
        <v>0.0186789262439928</v>
      </c>
      <c r="AV341">
        <f t="shared" si="353"/>
        <v>1.5707963267949</v>
      </c>
      <c r="AW341" t="str">
        <f t="shared" si="329"/>
        <v>1+3,03152058029658i</v>
      </c>
      <c r="AX341">
        <f t="shared" si="354"/>
        <v>3.19219627040095</v>
      </c>
      <c r="AY341">
        <f t="shared" si="355"/>
        <v>1.25216829308437</v>
      </c>
      <c r="AZ341" t="str">
        <f t="shared" si="330"/>
        <v>1+26,4625413215936i</v>
      </c>
      <c r="BA341">
        <f t="shared" si="356"/>
        <v>26.4814292136404</v>
      </c>
      <c r="BB341">
        <f t="shared" si="357"/>
        <v>1.5330250339413</v>
      </c>
      <c r="BC341" s="30" t="str">
        <f t="shared" si="358"/>
        <v>-0,0416648146057984+0,144427710558016i</v>
      </c>
      <c r="BD341" s="32">
        <f t="shared" si="359"/>
        <v>-16.4598149692513</v>
      </c>
      <c r="BE341" s="31">
        <f t="shared" si="360"/>
        <v>106.091905898901</v>
      </c>
      <c r="BF341" s="30" t="str">
        <f t="shared" si="361"/>
        <v>0,101679006254969-0,114302422098971i</v>
      </c>
      <c r="BG341" s="68">
        <f t="shared" si="362"/>
        <v>-16.3071614536524</v>
      </c>
      <c r="BH341" s="31">
        <f t="shared" si="363"/>
        <v>-48.3449476315755</v>
      </c>
      <c r="BI341" s="30" t="str">
        <f t="shared" si="316"/>
        <v>0,578280514182898+0,0685071418153199i</v>
      </c>
      <c r="BJ341" s="68">
        <f t="shared" si="364"/>
        <v>-4.69670184675968</v>
      </c>
      <c r="BK341" s="31">
        <f t="shared" si="317"/>
        <v>6.75616865470772</v>
      </c>
      <c r="BL341" s="32">
        <f t="shared" si="365"/>
        <v>-16.3071614536524</v>
      </c>
      <c r="BM341" s="31">
        <f t="shared" si="366"/>
        <v>-48.3449476315755</v>
      </c>
      <c r="BO341">
        <f t="shared" si="367"/>
        <v>0</v>
      </c>
      <c r="BP341">
        <f t="shared" si="368"/>
        <v>0</v>
      </c>
    </row>
    <row r="342" spans="14:68">
      <c r="N342" s="7">
        <v>24</v>
      </c>
      <c r="O342" s="18">
        <f t="shared" si="318"/>
        <v>17378.0082874938</v>
      </c>
      <c r="P342" s="86" t="str">
        <f t="shared" si="319"/>
        <v>15</v>
      </c>
      <c r="Q342" s="4" t="str">
        <f t="shared" si="320"/>
        <v>1+31,8468635158409i</v>
      </c>
      <c r="R342" s="4">
        <f t="shared" si="331"/>
        <v>31.8625597809812</v>
      </c>
      <c r="S342" s="4">
        <f t="shared" si="332"/>
        <v>1.53940637422123</v>
      </c>
      <c r="T342" s="4" t="str">
        <f t="shared" si="321"/>
        <v>1+0,0218378492680052i</v>
      </c>
      <c r="U342" s="4">
        <f t="shared" si="333"/>
        <v>1.0002384174089</v>
      </c>
      <c r="V342" s="4">
        <f t="shared" si="334"/>
        <v>0.0218343788315636</v>
      </c>
      <c r="W342" t="str">
        <f t="shared" si="322"/>
        <v>1-1,91081181095046i</v>
      </c>
      <c r="X342" s="4">
        <f t="shared" si="335"/>
        <v>2.15666450262153</v>
      </c>
      <c r="Y342" s="4">
        <f t="shared" si="336"/>
        <v>-1.08865328431622</v>
      </c>
      <c r="Z342" t="str">
        <f t="shared" si="323"/>
        <v>0,997852478776603+0,101390014458595i</v>
      </c>
      <c r="AA342" s="4">
        <f t="shared" si="337"/>
        <v>1.00299028132506</v>
      </c>
      <c r="AB342" s="4">
        <f t="shared" si="338"/>
        <v>0.101260694940536</v>
      </c>
      <c r="AC342" s="67" t="str">
        <f t="shared" si="339"/>
        <v>-0,918597203363055-0,425862472426928i</v>
      </c>
      <c r="AD342" s="68">
        <f t="shared" si="340"/>
        <v>0.107999841658333</v>
      </c>
      <c r="AE342" s="31">
        <f t="shared" si="341"/>
        <v>-155.127519438104</v>
      </c>
      <c r="AF342" s="32" t="str">
        <f t="shared" si="342"/>
        <v>75,4669735059805</v>
      </c>
      <c r="AG342" s="32" t="str">
        <f t="shared" si="324"/>
        <v>1+20,4729836887549i</v>
      </c>
      <c r="AH342" s="32">
        <f t="shared" si="343"/>
        <v>20.4973915686856</v>
      </c>
      <c r="AI342" s="32">
        <f t="shared" si="344"/>
        <v>1.52199025737837</v>
      </c>
      <c r="AJ342" s="32" t="str">
        <f t="shared" si="325"/>
        <v>1+0,0218378492680052i</v>
      </c>
      <c r="AK342" s="32">
        <f t="shared" si="345"/>
        <v>1.0002384174089</v>
      </c>
      <c r="AL342" s="32">
        <f t="shared" si="346"/>
        <v>0.0218343788315636</v>
      </c>
      <c r="AM342" s="32" t="str">
        <f t="shared" si="326"/>
        <v>1-0,244154577228268i</v>
      </c>
      <c r="AN342" s="32">
        <f t="shared" si="347"/>
        <v>1.02937430392521</v>
      </c>
      <c r="AO342" s="32">
        <f t="shared" si="348"/>
        <v>-0.239469567236235</v>
      </c>
      <c r="AP342" s="30" t="str">
        <f t="shared" si="349"/>
        <v>-0,636967750389519-3,73694025492587i</v>
      </c>
      <c r="AQ342" s="32">
        <f t="shared" si="350"/>
        <v>11.5747037955989</v>
      </c>
      <c r="AR342" s="31">
        <f t="shared" si="351"/>
        <v>-99.6731959769326</v>
      </c>
      <c r="AS342" t="str">
        <f t="shared" si="327"/>
        <v>-0,000338461538461538</v>
      </c>
      <c r="AT342" t="str">
        <f t="shared" si="328"/>
        <v>0,0191140143288069i</v>
      </c>
      <c r="AU342">
        <f t="shared" si="352"/>
        <v>0.0191140143288069</v>
      </c>
      <c r="AV342">
        <f t="shared" si="353"/>
        <v>1.5707963267949</v>
      </c>
      <c r="AW342" t="str">
        <f t="shared" si="329"/>
        <v>1+3,10213376577236i</v>
      </c>
      <c r="AX342">
        <f t="shared" si="354"/>
        <v>3.25933028408368</v>
      </c>
      <c r="AY342">
        <f t="shared" si="355"/>
        <v>1.25895518886125</v>
      </c>
      <c r="AZ342" t="str">
        <f t="shared" si="330"/>
        <v>1+27,0789330923264i</v>
      </c>
      <c r="BA342">
        <f t="shared" si="356"/>
        <v>27.097391339734</v>
      </c>
      <c r="BB342">
        <f t="shared" si="357"/>
        <v>1.53388402369103</v>
      </c>
      <c r="BC342" s="30" t="str">
        <f t="shared" si="358"/>
        <v>-0,0399661102053836+0,141687726742086i</v>
      </c>
      <c r="BD342" s="32">
        <f t="shared" si="359"/>
        <v>-16.6408694304342</v>
      </c>
      <c r="BE342" s="31">
        <f t="shared" si="360"/>
        <v>105.752261902196</v>
      </c>
      <c r="BF342" s="30" t="str">
        <f t="shared" si="361"/>
        <v>0,0970522426869007-0,113133883030797i</v>
      </c>
      <c r="BG342" s="68">
        <f t="shared" si="362"/>
        <v>-16.5328695887759</v>
      </c>
      <c r="BH342" s="31">
        <f t="shared" si="363"/>
        <v>-49.3752575359085</v>
      </c>
      <c r="BI342" s="30" t="str">
        <f t="shared" si="316"/>
        <v>0,554935693000781+0,0591004534985902i</v>
      </c>
      <c r="BJ342" s="68">
        <f t="shared" si="364"/>
        <v>-5.06616563483531</v>
      </c>
      <c r="BK342" s="31">
        <f t="shared" si="317"/>
        <v>6.07906592526315</v>
      </c>
      <c r="BL342" s="32">
        <f t="shared" si="365"/>
        <v>-16.5328695887759</v>
      </c>
      <c r="BM342" s="31">
        <f t="shared" si="366"/>
        <v>-49.3752575359085</v>
      </c>
      <c r="BO342">
        <f t="shared" si="367"/>
        <v>0</v>
      </c>
      <c r="BP342">
        <f t="shared" si="368"/>
        <v>0</v>
      </c>
    </row>
    <row r="343" spans="14:68">
      <c r="N343" s="7">
        <v>25</v>
      </c>
      <c r="O343" s="18">
        <f t="shared" si="318"/>
        <v>17782.7941003892</v>
      </c>
      <c r="P343" s="86" t="str">
        <f t="shared" si="319"/>
        <v>15</v>
      </c>
      <c r="Q343" s="4" t="str">
        <f t="shared" si="320"/>
        <v>1+32,5886722618814i</v>
      </c>
      <c r="R343" s="4">
        <f t="shared" si="331"/>
        <v>32.6040114064561</v>
      </c>
      <c r="S343" s="4">
        <f t="shared" si="332"/>
        <v>1.54012044339755</v>
      </c>
      <c r="T343" s="4" t="str">
        <f t="shared" si="321"/>
        <v>1+0,022346518122433i</v>
      </c>
      <c r="U343" s="4">
        <f t="shared" si="333"/>
        <v>1.00024965227297</v>
      </c>
      <c r="V343" s="4">
        <f t="shared" si="334"/>
        <v>0.0223427995329139</v>
      </c>
      <c r="W343" t="str">
        <f t="shared" si="322"/>
        <v>1-1,95532033571289i</v>
      </c>
      <c r="X343" s="4">
        <f t="shared" si="335"/>
        <v>2.1961961695742</v>
      </c>
      <c r="Y343" s="4">
        <f t="shared" si="336"/>
        <v>-1.09805042809512</v>
      </c>
      <c r="Z343" t="str">
        <f t="shared" si="323"/>
        <v>0,997751269219436+0,103751691282724i</v>
      </c>
      <c r="AA343" s="4">
        <f t="shared" si="337"/>
        <v>1.00313110243528</v>
      </c>
      <c r="AB343" s="4">
        <f t="shared" si="338"/>
        <v>0.103613141580741</v>
      </c>
      <c r="AC343" s="67" t="str">
        <f t="shared" si="339"/>
        <v>-0,919044801127048-0,412794052261758i</v>
      </c>
      <c r="AD343" s="68">
        <f t="shared" si="340"/>
        <v>0.0648413079879043</v>
      </c>
      <c r="AE343" s="31">
        <f t="shared" si="341"/>
        <v>-155.812504169806</v>
      </c>
      <c r="AF343" s="32" t="str">
        <f t="shared" si="342"/>
        <v>75,4669735059805</v>
      </c>
      <c r="AG343" s="32" t="str">
        <f t="shared" si="324"/>
        <v>1+20,949860739781i</v>
      </c>
      <c r="AH343" s="32">
        <f t="shared" si="343"/>
        <v>20.973713667737</v>
      </c>
      <c r="AI343" s="32">
        <f t="shared" si="344"/>
        <v>1.52309951540466</v>
      </c>
      <c r="AJ343" s="32" t="str">
        <f t="shared" si="325"/>
        <v>1+0,022346518122433i</v>
      </c>
      <c r="AK343" s="32">
        <f t="shared" si="345"/>
        <v>1.00024965227297</v>
      </c>
      <c r="AL343" s="32">
        <f t="shared" si="346"/>
        <v>0.0223427995329139</v>
      </c>
      <c r="AM343" s="32" t="str">
        <f t="shared" si="326"/>
        <v>1-0,249841667910956i</v>
      </c>
      <c r="AN343" s="32">
        <f t="shared" si="347"/>
        <v>1.03073801667763</v>
      </c>
      <c r="AO343" s="32">
        <f t="shared" si="348"/>
        <v>-0.24482963913939</v>
      </c>
      <c r="AP343" s="30" t="str">
        <f t="shared" si="349"/>
        <v>-0,645121183997003-3,65317147680965i</v>
      </c>
      <c r="AQ343" s="32">
        <f t="shared" si="350"/>
        <v>11.3867660466523</v>
      </c>
      <c r="AR343" s="31">
        <f t="shared" si="351"/>
        <v>-100.014730917763</v>
      </c>
      <c r="AS343" t="str">
        <f t="shared" si="327"/>
        <v>-0,000338461538461538</v>
      </c>
      <c r="AT343" t="str">
        <f t="shared" si="328"/>
        <v>0,019559236917022i</v>
      </c>
      <c r="AU343">
        <f t="shared" si="352"/>
        <v>0.019559236917022</v>
      </c>
      <c r="AV343">
        <f t="shared" si="353"/>
        <v>1.5707963267949</v>
      </c>
      <c r="AW343" t="str">
        <f t="shared" si="329"/>
        <v>1+3,17439174363234i</v>
      </c>
      <c r="AX343">
        <f t="shared" si="354"/>
        <v>3.32817711999244</v>
      </c>
      <c r="AY343">
        <f t="shared" si="355"/>
        <v>1.26561641554139</v>
      </c>
      <c r="AZ343" t="str">
        <f t="shared" si="330"/>
        <v>1+27,7096824718169i</v>
      </c>
      <c r="BA343">
        <f t="shared" si="356"/>
        <v>27.7277208347335</v>
      </c>
      <c r="BB343">
        <f t="shared" si="357"/>
        <v>1.53472351311006</v>
      </c>
      <c r="BC343" s="30" t="str">
        <f t="shared" si="358"/>
        <v>-0,0383297303586153+0,138978014309004i</v>
      </c>
      <c r="BD343" s="32">
        <f t="shared" si="359"/>
        <v>-16.8226968168687</v>
      </c>
      <c r="BE343" s="31">
        <f t="shared" si="360"/>
        <v>105.4187009277</v>
      </c>
      <c r="BF343" s="30" t="str">
        <f t="shared" si="361"/>
        <v>0,0925960371165933-0,111904736804817i</v>
      </c>
      <c r="BG343" s="68">
        <f t="shared" si="362"/>
        <v>-16.7578555088808</v>
      </c>
      <c r="BH343" s="31">
        <f t="shared" si="363"/>
        <v>-50.3938032421059</v>
      </c>
      <c r="BI343" s="30" t="str">
        <f t="shared" si="316"/>
        <v>0,532437838808533+0,0503674165193212i</v>
      </c>
      <c r="BJ343" s="68">
        <f t="shared" si="364"/>
        <v>-5.43593077021636</v>
      </c>
      <c r="BK343" s="31">
        <f t="shared" si="317"/>
        <v>5.4039700099364</v>
      </c>
      <c r="BL343" s="32">
        <f t="shared" si="365"/>
        <v>-16.7578555088808</v>
      </c>
      <c r="BM343" s="31">
        <f t="shared" si="366"/>
        <v>-50.3938032421059</v>
      </c>
      <c r="BO343">
        <f t="shared" si="367"/>
        <v>0</v>
      </c>
      <c r="BP343">
        <f t="shared" si="368"/>
        <v>0</v>
      </c>
    </row>
    <row r="344" spans="14:68">
      <c r="N344" s="7">
        <v>26</v>
      </c>
      <c r="O344" s="18">
        <f t="shared" si="318"/>
        <v>18197.0085860998</v>
      </c>
      <c r="P344" s="86" t="str">
        <f t="shared" si="319"/>
        <v>15</v>
      </c>
      <c r="Q344" s="4" t="str">
        <f t="shared" si="320"/>
        <v>1+33,3477599533175i</v>
      </c>
      <c r="R344" s="4">
        <f t="shared" si="331"/>
        <v>33.3627500950399</v>
      </c>
      <c r="S344" s="4">
        <f t="shared" si="332"/>
        <v>1.54081828861404</v>
      </c>
      <c r="T344" s="4" t="str">
        <f t="shared" si="321"/>
        <v>1+0,0228670353965606i</v>
      </c>
      <c r="U344" s="4">
        <f t="shared" si="333"/>
        <v>1.00026141648462</v>
      </c>
      <c r="V344" s="4">
        <f t="shared" si="334"/>
        <v>0.0228630509123428</v>
      </c>
      <c r="W344" t="str">
        <f t="shared" si="322"/>
        <v>1-2,00086559719905i</v>
      </c>
      <c r="X344" s="4">
        <f t="shared" si="335"/>
        <v>2.23684222466733</v>
      </c>
      <c r="Y344" s="4">
        <f t="shared" si="336"/>
        <v>-1.10732177731224</v>
      </c>
      <c r="Z344" t="str">
        <f t="shared" si="323"/>
        <v>0,99764528980279+0,106168378626888i</v>
      </c>
      <c r="AA344" s="4">
        <f t="shared" si="337"/>
        <v>1.00327854999793</v>
      </c>
      <c r="AB344" s="4">
        <f t="shared" si="338"/>
        <v>0.106019940874073</v>
      </c>
      <c r="AC344" s="67" t="str">
        <f t="shared" si="339"/>
        <v>-0,919448640189223-0,399944349539577i</v>
      </c>
      <c r="AD344" s="68">
        <f t="shared" si="340"/>
        <v>0.0231351736857121</v>
      </c>
      <c r="AE344" s="31">
        <f t="shared" si="341"/>
        <v>-156.491788169312</v>
      </c>
      <c r="AF344" s="32" t="str">
        <f t="shared" si="342"/>
        <v>75,4669735059805</v>
      </c>
      <c r="AG344" s="32" t="str">
        <f t="shared" si="324"/>
        <v>1+21,4378456842756i</v>
      </c>
      <c r="AH344" s="32">
        <f t="shared" si="343"/>
        <v>21.4611562499045</v>
      </c>
      <c r="AI344" s="32">
        <f t="shared" si="344"/>
        <v>1.52418363715358</v>
      </c>
      <c r="AJ344" s="32" t="str">
        <f t="shared" si="325"/>
        <v>1+0,0228670353965606i</v>
      </c>
      <c r="AK344" s="32">
        <f t="shared" si="345"/>
        <v>1.00026141648462</v>
      </c>
      <c r="AL344" s="32">
        <f t="shared" si="346"/>
        <v>0.0228630509123428</v>
      </c>
      <c r="AM344" s="32" t="str">
        <f t="shared" si="326"/>
        <v>1-0,255661227953017i</v>
      </c>
      <c r="AN344" s="32">
        <f t="shared" si="347"/>
        <v>1.03216406810083</v>
      </c>
      <c r="AO344" s="32">
        <f t="shared" si="348"/>
        <v>-0.250299739424328</v>
      </c>
      <c r="AP344" s="30" t="str">
        <f t="shared" si="349"/>
        <v>-0,652909283678523-3,5713046926731i</v>
      </c>
      <c r="AQ344" s="32">
        <f t="shared" si="350"/>
        <v>11.1993214050862</v>
      </c>
      <c r="AR344" s="31">
        <f t="shared" si="351"/>
        <v>-100.360451969968</v>
      </c>
      <c r="AS344" t="str">
        <f t="shared" si="327"/>
        <v>-0,000338461538461538</v>
      </c>
      <c r="AT344" t="str">
        <f t="shared" si="328"/>
        <v>0,0200148300715476i</v>
      </c>
      <c r="AU344">
        <f t="shared" si="352"/>
        <v>0.0200148300715476</v>
      </c>
      <c r="AV344">
        <f t="shared" si="353"/>
        <v>1.5707963267949</v>
      </c>
      <c r="AW344" t="str">
        <f t="shared" si="329"/>
        <v>1+3,24833282601286i</v>
      </c>
      <c r="AX344">
        <f t="shared" si="354"/>
        <v>3.39877421264677</v>
      </c>
      <c r="AY344">
        <f t="shared" si="355"/>
        <v>1.27215313958943</v>
      </c>
      <c r="AZ344" t="str">
        <f t="shared" si="330"/>
        <v>1+28,3551238917351i</v>
      </c>
      <c r="BA344">
        <f t="shared" si="356"/>
        <v>28.3727519094579</v>
      </c>
      <c r="BB344">
        <f t="shared" si="357"/>
        <v>1.53554394257108</v>
      </c>
      <c r="BC344" s="30" t="str">
        <f t="shared" si="358"/>
        <v>-0,0367539479893936+0,136299593438394i</v>
      </c>
      <c r="BD344" s="32">
        <f t="shared" si="359"/>
        <v>-17.0052687387777</v>
      </c>
      <c r="BE344" s="31">
        <f t="shared" si="360"/>
        <v>105.091181373411</v>
      </c>
      <c r="BF344" s="30" t="str">
        <f t="shared" si="361"/>
        <v>0,0883056197406607-0,110620942023646i</v>
      </c>
      <c r="BG344" s="68">
        <f t="shared" si="362"/>
        <v>-16.982133565092</v>
      </c>
      <c r="BH344" s="31">
        <f t="shared" si="363"/>
        <v>-51.4006067959013</v>
      </c>
      <c r="BI344" s="30" t="str">
        <f t="shared" si="316"/>
        <v>0,510764371510085+0,0422682770112486i</v>
      </c>
      <c r="BJ344" s="68">
        <f t="shared" si="364"/>
        <v>-5.80594733369148</v>
      </c>
      <c r="BK344" s="31">
        <f t="shared" si="317"/>
        <v>4.73072940344285</v>
      </c>
      <c r="BL344" s="32">
        <f t="shared" si="365"/>
        <v>-16.982133565092</v>
      </c>
      <c r="BM344" s="31">
        <f t="shared" si="366"/>
        <v>-51.4006067959013</v>
      </c>
      <c r="BO344">
        <f t="shared" si="367"/>
        <v>0</v>
      </c>
      <c r="BP344">
        <f t="shared" si="368"/>
        <v>0</v>
      </c>
    </row>
    <row r="345" spans="14:68">
      <c r="N345" s="7">
        <v>27</v>
      </c>
      <c r="O345" s="18">
        <f t="shared" si="318"/>
        <v>18620.8713666287</v>
      </c>
      <c r="P345" s="86" t="str">
        <f t="shared" si="319"/>
        <v>15</v>
      </c>
      <c r="Q345" s="4" t="str">
        <f t="shared" si="320"/>
        <v>1+34,1245290684906i</v>
      </c>
      <c r="R345" s="4">
        <f t="shared" si="331"/>
        <v>34.1391781410487</v>
      </c>
      <c r="S345" s="4">
        <f t="shared" si="332"/>
        <v>1.54150027715716</v>
      </c>
      <c r="T345" s="4" t="str">
        <f t="shared" si="321"/>
        <v>1+0,0233996770755364i</v>
      </c>
      <c r="U345" s="4">
        <f t="shared" si="333"/>
        <v>1.0002737349782</v>
      </c>
      <c r="V345" s="4">
        <f t="shared" si="334"/>
        <v>0.0233954076868759</v>
      </c>
      <c r="W345" t="str">
        <f t="shared" si="322"/>
        <v>1-2,04747174410944i</v>
      </c>
      <c r="X345" s="4">
        <f t="shared" si="335"/>
        <v>2.27862689857874</v>
      </c>
      <c r="Y345" s="4">
        <f t="shared" si="336"/>
        <v>-1.11646587127136</v>
      </c>
      <c r="Z345" t="str">
        <f t="shared" si="323"/>
        <v>0,997534315730115+0,108641357850704i</v>
      </c>
      <c r="AA345" s="4">
        <f t="shared" si="337"/>
        <v>1.00343293532492</v>
      </c>
      <c r="AB345" s="4">
        <f t="shared" si="338"/>
        <v>0.108482327405621</v>
      </c>
      <c r="AC345" s="67" t="str">
        <f t="shared" si="339"/>
        <v>-0,919809588258309-0,38730680811368i</v>
      </c>
      <c r="AD345" s="68">
        <f t="shared" si="340"/>
        <v>-0.0171613846895714</v>
      </c>
      <c r="AE345" s="31">
        <f t="shared" si="341"/>
        <v>-157.16536378525</v>
      </c>
      <c r="AF345" s="32" t="str">
        <f t="shared" si="342"/>
        <v>75,4669735059805</v>
      </c>
      <c r="AG345" s="32" t="str">
        <f t="shared" si="324"/>
        <v>1+21,9371972583154i</v>
      </c>
      <c r="AH345" s="32">
        <f t="shared" si="343"/>
        <v>21.9599777675261</v>
      </c>
      <c r="AI345" s="32">
        <f t="shared" si="344"/>
        <v>1.52524318724152</v>
      </c>
      <c r="AJ345" s="32" t="str">
        <f t="shared" si="325"/>
        <v>1+0,0233996770755364i</v>
      </c>
      <c r="AK345" s="32">
        <f t="shared" si="345"/>
        <v>1.0002737349782</v>
      </c>
      <c r="AL345" s="32">
        <f t="shared" si="346"/>
        <v>0.0233954076868759</v>
      </c>
      <c r="AM345" s="32" t="str">
        <f t="shared" si="326"/>
        <v>1-0,261616342962214i</v>
      </c>
      <c r="AN345" s="32">
        <f t="shared" si="347"/>
        <v>1.03365521858351</v>
      </c>
      <c r="AO345" s="32">
        <f t="shared" si="348"/>
        <v>-0.255881458443817</v>
      </c>
      <c r="AP345" s="30" t="str">
        <f t="shared" si="349"/>
        <v>-0,66034834911285-3,49129881946139i</v>
      </c>
      <c r="AQ345" s="32">
        <f t="shared" si="350"/>
        <v>11.012392088007</v>
      </c>
      <c r="AR345" s="31">
        <f t="shared" si="351"/>
        <v>-100.710466864058</v>
      </c>
      <c r="AS345" t="str">
        <f t="shared" si="327"/>
        <v>-0,000338461538461538</v>
      </c>
      <c r="AT345" t="str">
        <f t="shared" si="328"/>
        <v>0,0204810353539048i</v>
      </c>
      <c r="AU345">
        <f t="shared" si="352"/>
        <v>0.0204810353539048</v>
      </c>
      <c r="AV345">
        <f t="shared" si="353"/>
        <v>1.5707963267949</v>
      </c>
      <c r="AW345" t="str">
        <f t="shared" si="329"/>
        <v>1+3,3239962174545i</v>
      </c>
      <c r="AX345">
        <f t="shared" si="354"/>
        <v>3.47115987152016</v>
      </c>
      <c r="AY345">
        <f t="shared" si="355"/>
        <v>1.27856659160801</v>
      </c>
      <c r="AZ345" t="str">
        <f t="shared" si="330"/>
        <v>1+29,0155995736651i</v>
      </c>
      <c r="BA345">
        <f t="shared" si="356"/>
        <v>29.0328265695794</v>
      </c>
      <c r="BB345">
        <f t="shared" si="357"/>
        <v>1.53634574265627</v>
      </c>
      <c r="BC345" s="30" t="str">
        <f t="shared" si="358"/>
        <v>-0,0352370378111437+0,133653387264263i</v>
      </c>
      <c r="BD345" s="32">
        <f t="shared" si="359"/>
        <v>-17.1885575945305</v>
      </c>
      <c r="BE345" s="31">
        <f t="shared" si="360"/>
        <v>104.769657401531</v>
      </c>
      <c r="BF345" s="30" t="str">
        <f t="shared" si="361"/>
        <v>0,0841762320554138-0,109288122466855i</v>
      </c>
      <c r="BG345" s="68">
        <f t="shared" si="362"/>
        <v>-17.2057189792201</v>
      </c>
      <c r="BH345" s="31">
        <f t="shared" si="363"/>
        <v>-52.395706383719</v>
      </c>
      <c r="BI345" s="30" t="str">
        <f t="shared" si="316"/>
        <v>0,489892632918953+0,0347652348780659i</v>
      </c>
      <c r="BJ345" s="68">
        <f t="shared" si="364"/>
        <v>-6.17616550652347</v>
      </c>
      <c r="BK345" s="31">
        <f t="shared" si="317"/>
        <v>4.05919053747286</v>
      </c>
      <c r="BL345" s="32">
        <f t="shared" si="365"/>
        <v>-17.2057189792201</v>
      </c>
      <c r="BM345" s="31">
        <f t="shared" si="366"/>
        <v>-52.395706383719</v>
      </c>
      <c r="BO345">
        <f t="shared" si="367"/>
        <v>0</v>
      </c>
      <c r="BP345">
        <f t="shared" si="368"/>
        <v>0</v>
      </c>
    </row>
    <row r="346" spans="14:68">
      <c r="N346" s="7">
        <v>28</v>
      </c>
      <c r="O346" s="18">
        <f t="shared" si="318"/>
        <v>19054.6071796325</v>
      </c>
      <c r="P346" s="86" t="str">
        <f t="shared" si="319"/>
        <v>15</v>
      </c>
      <c r="Q346" s="4" t="str">
        <f t="shared" si="320"/>
        <v>1+34,9193914606676i</v>
      </c>
      <c r="R346" s="4">
        <f t="shared" si="331"/>
        <v>34.9337072178626</v>
      </c>
      <c r="S346" s="4">
        <f t="shared" si="332"/>
        <v>1.54216676808724</v>
      </c>
      <c r="T346" s="4" t="str">
        <f t="shared" si="321"/>
        <v>1+0,0239447255730292i</v>
      </c>
      <c r="U346" s="4">
        <f t="shared" si="333"/>
        <v>1.0002866338619</v>
      </c>
      <c r="V346" s="4">
        <f t="shared" si="334"/>
        <v>0.0239401509114551</v>
      </c>
      <c r="W346" t="str">
        <f t="shared" si="322"/>
        <v>1-2,09516348764006i</v>
      </c>
      <c r="X346" s="4">
        <f t="shared" si="335"/>
        <v>2.32157490508923</v>
      </c>
      <c r="Y346" s="4">
        <f t="shared" si="336"/>
        <v>-1.12548144070907</v>
      </c>
      <c r="Z346" t="str">
        <f t="shared" si="323"/>
        <v>0,997418111610524+0,111171940160492i</v>
      </c>
      <c r="AA346" s="4">
        <f t="shared" si="337"/>
        <v>1.00359458430571</v>
      </c>
      <c r="AB346" s="4">
        <f t="shared" si="338"/>
        <v>0.111001562295314</v>
      </c>
      <c r="AC346" s="67" t="str">
        <f t="shared" si="339"/>
        <v>-0,9201284245703-0,374874984600379i</v>
      </c>
      <c r="AD346" s="68">
        <f t="shared" si="340"/>
        <v>-0.0560911954637883</v>
      </c>
      <c r="AE346" s="31">
        <f t="shared" si="341"/>
        <v>-157.83323502041</v>
      </c>
      <c r="AF346" s="32" t="str">
        <f t="shared" si="342"/>
        <v>75,4669735059805</v>
      </c>
      <c r="AG346" s="32" t="str">
        <f t="shared" si="324"/>
        <v>1+22,4481802247149i</v>
      </c>
      <c r="AH346" s="32">
        <f t="shared" si="343"/>
        <v>22.4704427059478</v>
      </c>
      <c r="AI346" s="32">
        <f t="shared" si="344"/>
        <v>1.52627871793454</v>
      </c>
      <c r="AJ346" s="32" t="str">
        <f t="shared" si="325"/>
        <v>1+0,0239447255730292i</v>
      </c>
      <c r="AK346" s="32">
        <f t="shared" si="345"/>
        <v>1.0002866338619</v>
      </c>
      <c r="AL346" s="32">
        <f t="shared" si="346"/>
        <v>0.0239401509114551</v>
      </c>
      <c r="AM346" s="32" t="str">
        <f t="shared" si="326"/>
        <v>1-0,267710170419354i</v>
      </c>
      <c r="AN346" s="32">
        <f t="shared" si="347"/>
        <v>1.03521434270684</v>
      </c>
      <c r="AO346" s="32">
        <f t="shared" si="348"/>
        <v>-0.26157636390293</v>
      </c>
      <c r="AP346" s="30" t="str">
        <f t="shared" si="349"/>
        <v>-0,667453958900981-3,41311360678243i</v>
      </c>
      <c r="AQ346" s="32">
        <f t="shared" si="350"/>
        <v>10.826001016976</v>
      </c>
      <c r="AR346" s="31">
        <f t="shared" si="351"/>
        <v>-101.064880962171</v>
      </c>
      <c r="AS346" t="str">
        <f t="shared" si="327"/>
        <v>-0,000338461538461538</v>
      </c>
      <c r="AT346" t="str">
        <f t="shared" si="328"/>
        <v>0,0209580999523052i</v>
      </c>
      <c r="AU346">
        <f t="shared" si="352"/>
        <v>0.0209580999523052</v>
      </c>
      <c r="AV346">
        <f t="shared" si="353"/>
        <v>1.5707963267949</v>
      </c>
      <c r="AW346" t="str">
        <f t="shared" si="329"/>
        <v>1+3,40142203568895i</v>
      </c>
      <c r="AX346">
        <f t="shared" si="354"/>
        <v>3.54537330402179</v>
      </c>
      <c r="AY346">
        <f t="shared" si="355"/>
        <v>1.2848580609125</v>
      </c>
      <c r="AZ346" t="str">
        <f t="shared" si="330"/>
        <v>1+29,6914597105562i</v>
      </c>
      <c r="BA346">
        <f t="shared" si="356"/>
        <v>29.7082947969684</v>
      </c>
      <c r="BB346">
        <f t="shared" si="357"/>
        <v>1.53712933436457</v>
      </c>
      <c r="BC346" s="30" t="str">
        <f t="shared" si="358"/>
        <v>-0,0337772808533952+0,131040225528457i</v>
      </c>
      <c r="BD346" s="32">
        <f t="shared" si="359"/>
        <v>-17.3725365698396</v>
      </c>
      <c r="BE346" s="31">
        <f t="shared" si="360"/>
        <v>104.454079261194</v>
      </c>
      <c r="BF346" s="30" t="str">
        <f t="shared" si="361"/>
        <v>0,0802031387449136-0,107911578631077i</v>
      </c>
      <c r="BG346" s="68">
        <f t="shared" si="362"/>
        <v>-17.4286277653034</v>
      </c>
      <c r="BH346" s="31">
        <f t="shared" si="363"/>
        <v>-53.3791557592156</v>
      </c>
      <c r="BI346" s="30" t="str">
        <f t="shared" si="316"/>
        <v>0,469799956613524+0,0278223795765888i</v>
      </c>
      <c r="BJ346" s="68">
        <f t="shared" si="364"/>
        <v>-6.54653555286361</v>
      </c>
      <c r="BK346" s="31">
        <f t="shared" si="317"/>
        <v>3.38919829902365</v>
      </c>
      <c r="BL346" s="32">
        <f t="shared" si="365"/>
        <v>-17.4286277653034</v>
      </c>
      <c r="BM346" s="31">
        <f t="shared" si="366"/>
        <v>-53.3791557592156</v>
      </c>
      <c r="BO346">
        <f t="shared" si="367"/>
        <v>0</v>
      </c>
      <c r="BP346">
        <f t="shared" si="368"/>
        <v>0</v>
      </c>
    </row>
    <row r="347" spans="14:68">
      <c r="N347" s="7">
        <v>29</v>
      </c>
      <c r="O347" s="18">
        <f t="shared" si="318"/>
        <v>19498.4459975805</v>
      </c>
      <c r="P347" s="86" t="str">
        <f t="shared" si="319"/>
        <v>15</v>
      </c>
      <c r="Q347" s="4" t="str">
        <f t="shared" si="320"/>
        <v>1+35,7327685764093i</v>
      </c>
      <c r="R347" s="4">
        <f t="shared" si="331"/>
        <v>35.7467585962032</v>
      </c>
      <c r="S347" s="4">
        <f t="shared" si="332"/>
        <v>1.54281811241674</v>
      </c>
      <c r="T347" s="4" t="str">
        <f t="shared" si="321"/>
        <v>1+0,0245024698809664i</v>
      </c>
      <c r="U347" s="4">
        <f t="shared" si="333"/>
        <v>1.00030014047298</v>
      </c>
      <c r="V347" s="4">
        <f t="shared" si="334"/>
        <v>0.0244975681222075</v>
      </c>
      <c r="W347" t="str">
        <f t="shared" si="322"/>
        <v>1-2,14396611458456i</v>
      </c>
      <c r="X347" s="4">
        <f t="shared" si="335"/>
        <v>2.36571145757187</v>
      </c>
      <c r="Y347" s="4">
        <f t="shared" si="336"/>
        <v>-1.1343674024959</v>
      </c>
      <c r="Z347" t="str">
        <f t="shared" si="323"/>
        <v>0,997296430959498+0,113761467304487i</v>
      </c>
      <c r="AA347" s="4">
        <f t="shared" si="337"/>
        <v>1.00376383808535</v>
      </c>
      <c r="AB347" s="4">
        <f t="shared" si="338"/>
        <v>0.113578933660307</v>
      </c>
      <c r="AC347" s="67" t="str">
        <f t="shared" si="339"/>
        <v>-0,920405841652209-0,362642546153018i</v>
      </c>
      <c r="AD347" s="68">
        <f t="shared" si="340"/>
        <v>-0.0936970192537686</v>
      </c>
      <c r="AE347" s="31">
        <f t="shared" si="341"/>
        <v>-158.495417256648</v>
      </c>
      <c r="AF347" s="32" t="str">
        <f t="shared" si="342"/>
        <v>75,4669735059805</v>
      </c>
      <c r="AG347" s="32" t="str">
        <f t="shared" si="324"/>
        <v>1+22,971065513406i</v>
      </c>
      <c r="AH347" s="32">
        <f t="shared" si="343"/>
        <v>22.9928217237726</v>
      </c>
      <c r="AI347" s="32">
        <f t="shared" si="344"/>
        <v>1.52729076939627</v>
      </c>
      <c r="AJ347" s="32" t="str">
        <f t="shared" si="325"/>
        <v>1+0,0245024698809664i</v>
      </c>
      <c r="AK347" s="32">
        <f t="shared" si="345"/>
        <v>1.00030014047298</v>
      </c>
      <c r="AL347" s="32">
        <f t="shared" si="346"/>
        <v>0.0244975681222075</v>
      </c>
      <c r="AM347" s="32" t="str">
        <f t="shared" si="326"/>
        <v>1-0,27394594135241i</v>
      </c>
      <c r="AN347" s="32">
        <f t="shared" si="347"/>
        <v>1.03684443326058</v>
      </c>
      <c r="AO347" s="32">
        <f t="shared" si="348"/>
        <v>-0.267385997131799</v>
      </c>
      <c r="AP347" s="30" t="str">
        <f t="shared" si="349"/>
        <v>-0,674241001925154-3,33670962572799i</v>
      </c>
      <c r="AQ347" s="32">
        <f t="shared" si="350"/>
        <v>10.6401718339413</v>
      </c>
      <c r="AR347" s="31">
        <f t="shared" si="351"/>
        <v>-101.423797050507</v>
      </c>
      <c r="AS347" t="str">
        <f t="shared" si="327"/>
        <v>-0,000338461538461538</v>
      </c>
      <c r="AT347" t="str">
        <f t="shared" si="328"/>
        <v>0,0214462768127135i</v>
      </c>
      <c r="AU347">
        <f t="shared" si="352"/>
        <v>0.0214462768127135</v>
      </c>
      <c r="AV347">
        <f t="shared" si="353"/>
        <v>1.5707963267949</v>
      </c>
      <c r="AW347" t="str">
        <f t="shared" si="329"/>
        <v>1+3,48065133290982i</v>
      </c>
      <c r="AX347">
        <f t="shared" si="354"/>
        <v>3.62145463885535</v>
      </c>
      <c r="AY347">
        <f t="shared" si="355"/>
        <v>1.29102889031223</v>
      </c>
      <c r="AZ347" t="str">
        <f t="shared" si="330"/>
        <v>1+30,3830626523983i</v>
      </c>
      <c r="BA347">
        <f t="shared" si="356"/>
        <v>30.3995147352645</v>
      </c>
      <c r="BB347">
        <f t="shared" si="357"/>
        <v>1.53789512931538</v>
      </c>
      <c r="BC347" s="30" t="str">
        <f t="shared" si="358"/>
        <v>-0,0323729685932825+0,128460848320724i</v>
      </c>
      <c r="BD347" s="32">
        <f t="shared" si="359"/>
        <v>-17.5571796348703</v>
      </c>
      <c r="BE347" s="31">
        <f t="shared" si="360"/>
        <v>104.144393599148</v>
      </c>
      <c r="BF347" s="30" t="str">
        <f t="shared" si="361"/>
        <v>0,0763816385208847-0,106496299460793i</v>
      </c>
      <c r="BG347" s="68">
        <f t="shared" si="362"/>
        <v>-17.6508766541241</v>
      </c>
      <c r="BH347" s="31">
        <f t="shared" si="363"/>
        <v>-54.3510236574994</v>
      </c>
      <c r="BI347" s="30" t="str">
        <f t="shared" si="316"/>
        <v>0,450463731900569+0,0214056248386754i</v>
      </c>
      <c r="BJ347" s="68">
        <f t="shared" si="364"/>
        <v>-6.91700780092898</v>
      </c>
      <c r="BK347" s="31">
        <f t="shared" si="317"/>
        <v>2.72059654864112</v>
      </c>
      <c r="BL347" s="32">
        <f t="shared" si="365"/>
        <v>-17.6508766541241</v>
      </c>
      <c r="BM347" s="31">
        <f t="shared" si="366"/>
        <v>-54.3510236574994</v>
      </c>
      <c r="BO347">
        <f t="shared" si="367"/>
        <v>0</v>
      </c>
      <c r="BP347">
        <f t="shared" si="368"/>
        <v>0</v>
      </c>
    </row>
    <row r="348" spans="14:68">
      <c r="N348" s="7">
        <v>30</v>
      </c>
      <c r="O348" s="18">
        <f t="shared" si="318"/>
        <v>19952.6231496888</v>
      </c>
      <c r="P348" s="86" t="str">
        <f t="shared" si="319"/>
        <v>15</v>
      </c>
      <c r="Q348" s="4" t="str">
        <f t="shared" si="320"/>
        <v>1+36,5650916790297i</v>
      </c>
      <c r="R348" s="4">
        <f t="shared" si="331"/>
        <v>36.5787633675039</v>
      </c>
      <c r="S348" s="4">
        <f t="shared" si="332"/>
        <v>1.54345465328511</v>
      </c>
      <c r="T348" s="4" t="str">
        <f t="shared" si="321"/>
        <v>1+0,0250732057227632i</v>
      </c>
      <c r="U348" s="4">
        <f t="shared" si="333"/>
        <v>1.00031428343557</v>
      </c>
      <c r="V348" s="4">
        <f t="shared" si="334"/>
        <v>0.0250679534827448</v>
      </c>
      <c r="W348" t="str">
        <f t="shared" si="322"/>
        <v>1-2,19390550074178i</v>
      </c>
      <c r="X348" s="4">
        <f t="shared" si="335"/>
        <v>2.4110622858369</v>
      </c>
      <c r="Y348" s="4">
        <f t="shared" si="336"/>
        <v>-1.14312285397195</v>
      </c>
      <c r="Z348" t="str">
        <f t="shared" si="323"/>
        <v>0,997169015676064+0,116411312284257i</v>
      </c>
      <c r="AA348" s="4">
        <f t="shared" si="337"/>
        <v>1.00394105377363</v>
      </c>
      <c r="AB348" s="4">
        <f t="shared" si="338"/>
        <v>0.116215757077414</v>
      </c>
      <c r="AC348" s="67" t="str">
        <f t="shared" si="339"/>
        <v>-0,920642446923293-0,350603268298091i</v>
      </c>
      <c r="AD348" s="68">
        <f t="shared" si="340"/>
        <v>-0.130021481533461</v>
      </c>
      <c r="AE348" s="31">
        <f t="shared" si="341"/>
        <v>-159.151936958469</v>
      </c>
      <c r="AF348" s="32" t="str">
        <f t="shared" si="342"/>
        <v>75,4669735059805</v>
      </c>
      <c r="AG348" s="32" t="str">
        <f t="shared" si="324"/>
        <v>1+23,5061303650905i</v>
      </c>
      <c r="AH348" s="32">
        <f t="shared" si="343"/>
        <v>23.5273917963855</v>
      </c>
      <c r="AI348" s="32">
        <f t="shared" si="344"/>
        <v>1.52827986993234</v>
      </c>
      <c r="AJ348" s="32" t="str">
        <f t="shared" si="325"/>
        <v>1+0,0250732057227632i</v>
      </c>
      <c r="AK348" s="32">
        <f t="shared" si="345"/>
        <v>1.00031428343557</v>
      </c>
      <c r="AL348" s="32">
        <f t="shared" si="346"/>
        <v>0.0250679534827448</v>
      </c>
      <c r="AM348" s="32" t="str">
        <f t="shared" si="326"/>
        <v>1-0,280326962049676i</v>
      </c>
      <c r="AN348" s="32">
        <f t="shared" si="347"/>
        <v>1.0385486053392</v>
      </c>
      <c r="AO348" s="32">
        <f t="shared" si="348"/>
        <v>-0.273311869152174</v>
      </c>
      <c r="AP348" s="30" t="str">
        <f t="shared" si="349"/>
        <v>-0,680723707391852-3,26204825746452i</v>
      </c>
      <c r="AQ348" s="32">
        <f t="shared" si="350"/>
        <v>10.4549289161966</v>
      </c>
      <c r="AR348" s="31">
        <f t="shared" si="351"/>
        <v>-101.787315119586</v>
      </c>
      <c r="AS348" t="str">
        <f t="shared" si="327"/>
        <v>-0,000338461538461538</v>
      </c>
      <c r="AT348" t="str">
        <f t="shared" si="328"/>
        <v>0,0219458247729629i</v>
      </c>
      <c r="AU348">
        <f t="shared" si="352"/>
        <v>0.0219458247729629</v>
      </c>
      <c r="AV348">
        <f t="shared" si="353"/>
        <v>1.5707963267949</v>
      </c>
      <c r="AW348" t="str">
        <f t="shared" si="329"/>
        <v>1+3,56172611753929i</v>
      </c>
      <c r="AX348">
        <f t="shared" si="354"/>
        <v>3.69944494976767</v>
      </c>
      <c r="AY348">
        <f t="shared" si="355"/>
        <v>1.29708047110203</v>
      </c>
      <c r="AZ348" t="str">
        <f t="shared" si="330"/>
        <v>1+31,0907750962264i</v>
      </c>
      <c r="BA348">
        <f t="shared" si="356"/>
        <v>31.1068528797777</v>
      </c>
      <c r="BB348">
        <f t="shared" si="357"/>
        <v>1.5386435299485</v>
      </c>
      <c r="BC348" s="30" t="str">
        <f t="shared" si="358"/>
        <v>-0,0310224067065967+0,125915909876525i</v>
      </c>
      <c r="BD348" s="32">
        <f t="shared" si="359"/>
        <v>-17.7424615394458</v>
      </c>
      <c r="BE348" s="31">
        <f t="shared" si="360"/>
        <v>103.840543758173</v>
      </c>
      <c r="BF348" s="30" t="str">
        <f t="shared" si="361"/>
        <v>0,0727070739532483-0,105046974193491i</v>
      </c>
      <c r="BG348" s="68">
        <f t="shared" si="362"/>
        <v>-17.8724830209793</v>
      </c>
      <c r="BH348" s="31">
        <f t="shared" si="363"/>
        <v>-55.3113932002957</v>
      </c>
      <c r="BI348" s="30" t="str">
        <f t="shared" si="316"/>
        <v>0,43186146210531+0,015482642748843i</v>
      </c>
      <c r="BJ348" s="68">
        <f t="shared" si="364"/>
        <v>-7.28753262324922</v>
      </c>
      <c r="BK348" s="31">
        <f t="shared" si="317"/>
        <v>2.05322863858744</v>
      </c>
      <c r="BL348" s="32">
        <f t="shared" si="365"/>
        <v>-17.8724830209793</v>
      </c>
      <c r="BM348" s="31">
        <f t="shared" si="366"/>
        <v>-55.3113932002957</v>
      </c>
      <c r="BO348">
        <f t="shared" si="367"/>
        <v>0</v>
      </c>
      <c r="BP348">
        <f t="shared" si="368"/>
        <v>0</v>
      </c>
    </row>
    <row r="349" spans="14:68">
      <c r="N349" s="7">
        <v>31</v>
      </c>
      <c r="O349" s="18">
        <f t="shared" si="318"/>
        <v>20417.3794466953</v>
      </c>
      <c r="P349" s="86" t="str">
        <f t="shared" si="319"/>
        <v>15</v>
      </c>
      <c r="Q349" s="4" t="str">
        <f t="shared" si="320"/>
        <v>1+37,4168020772542i</v>
      </c>
      <c r="R349" s="4">
        <f t="shared" si="331"/>
        <v>37.4301626724813</v>
      </c>
      <c r="S349" s="4">
        <f t="shared" si="332"/>
        <v>1.54407672613025</v>
      </c>
      <c r="T349" s="4" t="str">
        <f t="shared" si="321"/>
        <v>1+0,0256572357101172i</v>
      </c>
      <c r="U349" s="4">
        <f t="shared" si="333"/>
        <v>1.00032909272113</v>
      </c>
      <c r="V349" s="4">
        <f t="shared" si="334"/>
        <v>0.0256516079335336</v>
      </c>
      <c r="W349" t="str">
        <f t="shared" si="322"/>
        <v>1-2,24500812463526i</v>
      </c>
      <c r="X349" s="4">
        <f t="shared" si="335"/>
        <v>2.45765365332024</v>
      </c>
      <c r="Y349" s="4">
        <f t="shared" si="336"/>
        <v>-1.15174706696947</v>
      </c>
      <c r="Z349" t="str">
        <f t="shared" si="323"/>
        <v>0,997035595495322+0,119122880082687i</v>
      </c>
      <c r="AA349" s="4">
        <f t="shared" si="337"/>
        <v>1.00412660518677</v>
      </c>
      <c r="AB349" s="4">
        <f t="shared" si="338"/>
        <v>0.118913376044837</v>
      </c>
      <c r="AC349" s="67" t="str">
        <f t="shared" si="339"/>
        <v>-0,9208387641382-0,338751032837579i</v>
      </c>
      <c r="AD349" s="68">
        <f t="shared" si="340"/>
        <v>-0.165107010414557</v>
      </c>
      <c r="AE349" s="31">
        <f t="shared" si="341"/>
        <v>-159.802831358268</v>
      </c>
      <c r="AF349" s="32" t="str">
        <f t="shared" si="342"/>
        <v>75,4669735059805</v>
      </c>
      <c r="AG349" s="32" t="str">
        <f t="shared" si="324"/>
        <v>1+24,0536584782349i</v>
      </c>
      <c r="AH349" s="32">
        <f t="shared" si="343"/>
        <v>24.0744363628219</v>
      </c>
      <c r="AI349" s="32">
        <f t="shared" si="344"/>
        <v>1.52924653623129</v>
      </c>
      <c r="AJ349" s="32" t="str">
        <f t="shared" si="325"/>
        <v>1+0,0256572357101172i</v>
      </c>
      <c r="AK349" s="32">
        <f t="shared" si="345"/>
        <v>1.00032909272113</v>
      </c>
      <c r="AL349" s="32">
        <f t="shared" si="346"/>
        <v>0.0256516079335336</v>
      </c>
      <c r="AM349" s="32" t="str">
        <f t="shared" si="326"/>
        <v>1-0,286856615812786i</v>
      </c>
      <c r="AN349" s="32">
        <f t="shared" si="347"/>
        <v>1.04033010051405</v>
      </c>
      <c r="AO349" s="32">
        <f t="shared" si="348"/>
        <v>-0.279355456534509</v>
      </c>
      <c r="AP349" s="30" t="str">
        <f t="shared" si="349"/>
        <v>-0,686915673609736-3,18909168163134i</v>
      </c>
      <c r="AQ349" s="32">
        <f t="shared" si="350"/>
        <v>10.2702973902381</v>
      </c>
      <c r="AR349" s="31">
        <f t="shared" si="351"/>
        <v>-102.155532132115</v>
      </c>
      <c r="AS349" t="str">
        <f t="shared" si="327"/>
        <v>-0,000338461538461538</v>
      </c>
      <c r="AT349" t="str">
        <f t="shared" si="328"/>
        <v>0,0224570086999943i</v>
      </c>
      <c r="AU349">
        <f t="shared" si="352"/>
        <v>0.0224570086999943</v>
      </c>
      <c r="AV349">
        <f t="shared" si="353"/>
        <v>1.5707963267949</v>
      </c>
      <c r="AW349" t="str">
        <f t="shared" si="329"/>
        <v>1+3,64468937650128i</v>
      </c>
      <c r="AX349">
        <f t="shared" si="354"/>
        <v>3.77938627969956</v>
      </c>
      <c r="AY349">
        <f t="shared" si="355"/>
        <v>1.30301423826644</v>
      </c>
      <c r="AZ349" t="str">
        <f t="shared" si="330"/>
        <v>1+31,8149722805453i</v>
      </c>
      <c r="BA349">
        <f t="shared" si="356"/>
        <v>31.8306842718134</v>
      </c>
      <c r="BB349">
        <f t="shared" si="357"/>
        <v>1.53937492972049</v>
      </c>
      <c r="BC349" s="30" t="str">
        <f t="shared" si="358"/>
        <v>-0,0297239184541804+0,123405982406413i</v>
      </c>
      <c r="BD349" s="32">
        <f t="shared" si="359"/>
        <v>-17.9283578065274</v>
      </c>
      <c r="BE349" s="31">
        <f t="shared" si="360"/>
        <v>103.542470063111</v>
      </c>
      <c r="BF349" s="30" t="str">
        <f t="shared" si="361"/>
        <v>0,0691748403332006-0,103568004250048i</v>
      </c>
      <c r="BG349" s="68">
        <f t="shared" si="362"/>
        <v>-18.093464816942</v>
      </c>
      <c r="BH349" s="31">
        <f t="shared" si="363"/>
        <v>-56.2603612951569</v>
      </c>
      <c r="BI349" s="30" t="str">
        <f t="shared" si="316"/>
        <v>0,413970817423109+0,0100227975555426i</v>
      </c>
      <c r="BJ349" s="68">
        <f t="shared" si="364"/>
        <v>-7.65806041628935</v>
      </c>
      <c r="BK349" s="31">
        <f t="shared" si="317"/>
        <v>1.38693793099633</v>
      </c>
      <c r="BL349" s="32">
        <f t="shared" si="365"/>
        <v>-18.093464816942</v>
      </c>
      <c r="BM349" s="31">
        <f t="shared" si="366"/>
        <v>-56.2603612951569</v>
      </c>
      <c r="BO349">
        <f t="shared" si="367"/>
        <v>0</v>
      </c>
      <c r="BP349">
        <f t="shared" si="368"/>
        <v>0</v>
      </c>
    </row>
    <row r="350" spans="14:68">
      <c r="N350" s="7">
        <v>32</v>
      </c>
      <c r="O350" s="18">
        <f t="shared" si="318"/>
        <v>20892.9613085404</v>
      </c>
      <c r="P350" s="86" t="str">
        <f t="shared" si="319"/>
        <v>15</v>
      </c>
      <c r="Q350" s="4" t="str">
        <f t="shared" si="320"/>
        <v>1+38,2883513592104i</v>
      </c>
      <c r="R350" s="4">
        <f t="shared" si="331"/>
        <v>38.30140793504</v>
      </c>
      <c r="S350" s="4">
        <f t="shared" si="332"/>
        <v>1.54468465885648</v>
      </c>
      <c r="T350" s="4" t="str">
        <f t="shared" si="321"/>
        <v>1+0,0262548695034586i</v>
      </c>
      <c r="U350" s="4">
        <f t="shared" si="333"/>
        <v>1.00034459971184</v>
      </c>
      <c r="V350" s="4">
        <f t="shared" si="334"/>
        <v>0.0262488393443914</v>
      </c>
      <c r="W350" t="str">
        <f t="shared" si="322"/>
        <v>1-2,29730108155263i</v>
      </c>
      <c r="X350" s="4">
        <f t="shared" si="335"/>
        <v>2.50551237460582</v>
      </c>
      <c r="Y350" s="4">
        <f t="shared" si="336"/>
        <v>-1.16023948157343</v>
      </c>
      <c r="Z350" t="str">
        <f t="shared" si="323"/>
        <v>0,996895887415181+0,121897608408915i</v>
      </c>
      <c r="AA350" s="4">
        <f t="shared" si="337"/>
        <v>1.00432088362292</v>
      </c>
      <c r="AB350" s="4">
        <f t="shared" si="338"/>
        <v>0.121673162442425</v>
      </c>
      <c r="AC350" s="67" t="str">
        <f t="shared" si="339"/>
        <v>-0,920995234676332-0,327079825821461i</v>
      </c>
      <c r="AD350" s="68">
        <f t="shared" si="340"/>
        <v>-0.198995779658307</v>
      </c>
      <c r="AE350" s="31">
        <f t="shared" si="341"/>
        <v>-160.448148126096</v>
      </c>
      <c r="AF350" s="32" t="str">
        <f t="shared" si="342"/>
        <v>75,4669735059805</v>
      </c>
      <c r="AG350" s="32" t="str">
        <f t="shared" si="324"/>
        <v>1+24,6139401594925i</v>
      </c>
      <c r="AH350" s="32">
        <f t="shared" si="343"/>
        <v>24.634245476066</v>
      </c>
      <c r="AI350" s="32">
        <f t="shared" si="344"/>
        <v>1.53019127360189</v>
      </c>
      <c r="AJ350" s="32" t="str">
        <f t="shared" si="325"/>
        <v>1+0,0262548695034586i</v>
      </c>
      <c r="AK350" s="32">
        <f t="shared" si="345"/>
        <v>1.00034459971184</v>
      </c>
      <c r="AL350" s="32">
        <f t="shared" si="346"/>
        <v>0.0262488393443914</v>
      </c>
      <c r="AM350" s="32" t="str">
        <f t="shared" si="326"/>
        <v>1-0,293538364750598i</v>
      </c>
      <c r="AN350" s="32">
        <f t="shared" si="347"/>
        <v>1.04219229107706</v>
      </c>
      <c r="AO350" s="32">
        <f t="shared" si="348"/>
        <v>-0.2855181970433</v>
      </c>
      <c r="AP350" s="30" t="str">
        <f t="shared" si="349"/>
        <v>-0,692829895551904-3,1178028645797i</v>
      </c>
      <c r="AQ350" s="32">
        <f t="shared" si="350"/>
        <v>10.0863031443809</v>
      </c>
      <c r="AR350" s="31">
        <f t="shared" si="351"/>
        <v>-102.528541778352</v>
      </c>
      <c r="AS350" t="str">
        <f t="shared" si="327"/>
        <v>-0,000338461538461538</v>
      </c>
      <c r="AT350" t="str">
        <f t="shared" si="328"/>
        <v>0,0229800996302922i</v>
      </c>
      <c r="AU350">
        <f t="shared" si="352"/>
        <v>0.0229800996302922</v>
      </c>
      <c r="AV350">
        <f t="shared" si="353"/>
        <v>1.5707963267949</v>
      </c>
      <c r="AW350" t="str">
        <f t="shared" si="329"/>
        <v>1+3,72958509801389i</v>
      </c>
      <c r="AX350">
        <f t="shared" si="354"/>
        <v>3.86132166535336</v>
      </c>
      <c r="AY350">
        <f t="shared" si="355"/>
        <v>1.30883166589738</v>
      </c>
      <c r="AZ350" t="str">
        <f t="shared" si="330"/>
        <v>1+32,5560381842887i</v>
      </c>
      <c r="BA350">
        <f t="shared" si="356"/>
        <v>32.5713926975324</v>
      </c>
      <c r="BB350">
        <f t="shared" si="357"/>
        <v>1.54008971329732</v>
      </c>
      <c r="BC350" s="30" t="str">
        <f t="shared" si="358"/>
        <v>-0,0284758477203423+0,120931559933404i</v>
      </c>
      <c r="BD350" s="32">
        <f t="shared" si="359"/>
        <v>-18.1148447241384</v>
      </c>
      <c r="BE350" s="31">
        <f t="shared" si="360"/>
        <v>103.250110094453</v>
      </c>
      <c r="BF350" s="30" t="str">
        <f t="shared" si="361"/>
        <v>0,0657803936131395-0,102063515108152i</v>
      </c>
      <c r="BG350" s="68">
        <f t="shared" si="362"/>
        <v>-18.3138405037967</v>
      </c>
      <c r="BH350" s="31">
        <f t="shared" si="363"/>
        <v>-57.1980380316429</v>
      </c>
      <c r="BI350" s="30" t="str">
        <f t="shared" si="316"/>
        <v>0,396769682580295+0,00499707955622943i</v>
      </c>
      <c r="BJ350" s="68">
        <f t="shared" si="364"/>
        <v>-8.02854157975748</v>
      </c>
      <c r="BK350" s="31">
        <f t="shared" si="317"/>
        <v>0.721568316101302</v>
      </c>
      <c r="BL350" s="32">
        <f t="shared" si="365"/>
        <v>-18.3138405037967</v>
      </c>
      <c r="BM350" s="31">
        <f t="shared" si="366"/>
        <v>-57.1980380316429</v>
      </c>
      <c r="BO350">
        <f t="shared" si="367"/>
        <v>0</v>
      </c>
      <c r="BP350">
        <f t="shared" si="368"/>
        <v>0</v>
      </c>
    </row>
    <row r="351" spans="14:68">
      <c r="N351" s="7">
        <v>33</v>
      </c>
      <c r="O351" s="18">
        <f t="shared" si="318"/>
        <v>21379.6208950223</v>
      </c>
      <c r="P351" s="86" t="str">
        <f t="shared" si="319"/>
        <v>15</v>
      </c>
      <c r="Q351" s="4" t="str">
        <f t="shared" si="320"/>
        <v>1+39,1802016318632i</v>
      </c>
      <c r="R351" s="4">
        <f t="shared" si="331"/>
        <v>39.1929611016246</v>
      </c>
      <c r="S351" s="4">
        <f t="shared" si="332"/>
        <v>1.54527877199931</v>
      </c>
      <c r="T351" s="4" t="str">
        <f t="shared" si="321"/>
        <v>1+0,0268664239761348i</v>
      </c>
      <c r="U351" s="4">
        <f t="shared" si="333"/>
        <v>1.00036083726687</v>
      </c>
      <c r="V351" s="4">
        <f t="shared" si="334"/>
        <v>0.0268599626701517</v>
      </c>
      <c r="W351" t="str">
        <f t="shared" si="322"/>
        <v>1-2,3508120979118i</v>
      </c>
      <c r="X351" s="4">
        <f t="shared" si="335"/>
        <v>2.55466583327223</v>
      </c>
      <c r="Y351" s="4">
        <f t="shared" si="336"/>
        <v>-1.16859969966867</v>
      </c>
      <c r="Z351" t="str">
        <f t="shared" si="323"/>
        <v>0,996749595096072+0,124736968460625i</v>
      </c>
      <c r="AA351" s="4">
        <f t="shared" si="337"/>
        <v>1.00452429867322</v>
      </c>
      <c r="AB351" s="4">
        <f t="shared" si="338"/>
        <v>0.124496516989602</v>
      </c>
      <c r="AC351" s="67" t="str">
        <f t="shared" si="339"/>
        <v>-0,921112218681497-0,315583735594581i</v>
      </c>
      <c r="AD351" s="68">
        <f t="shared" si="340"/>
        <v>-0.231729656900144</v>
      </c>
      <c r="AE351" s="31">
        <f t="shared" si="341"/>
        <v>-161.087945026694</v>
      </c>
      <c r="AF351" s="32" t="str">
        <f t="shared" si="342"/>
        <v>75,4669735059805</v>
      </c>
      <c r="AG351" s="32" t="str">
        <f t="shared" si="324"/>
        <v>1+25,1872724776264i</v>
      </c>
      <c r="AH351" s="32">
        <f t="shared" si="343"/>
        <v>25.2071159568523</v>
      </c>
      <c r="AI351" s="32">
        <f t="shared" si="344"/>
        <v>1.53111457620692</v>
      </c>
      <c r="AJ351" s="32" t="str">
        <f t="shared" si="325"/>
        <v>1+0,0268664239761348i</v>
      </c>
      <c r="AK351" s="32">
        <f t="shared" si="345"/>
        <v>1.00036083726687</v>
      </c>
      <c r="AL351" s="32">
        <f t="shared" si="346"/>
        <v>0.0268599626701517</v>
      </c>
      <c r="AM351" s="32" t="str">
        <f t="shared" si="326"/>
        <v>1-0,300375751614838i</v>
      </c>
      <c r="AN351" s="32">
        <f t="shared" si="347"/>
        <v>1.04413868435097</v>
      </c>
      <c r="AO351" s="32">
        <f t="shared" si="348"/>
        <v>-0.291801485069191</v>
      </c>
      <c r="AP351" s="30" t="str">
        <f t="shared" si="349"/>
        <v>-0,698478791250276-3,04814554748478i</v>
      </c>
      <c r="AQ351" s="32">
        <f t="shared" si="350"/>
        <v>9.90297283998794</v>
      </c>
      <c r="AR351" s="31">
        <f t="shared" si="351"/>
        <v>-102.906434218854</v>
      </c>
      <c r="AS351" t="str">
        <f t="shared" si="327"/>
        <v>-0,000338461538461538</v>
      </c>
      <c r="AT351" t="str">
        <f t="shared" si="328"/>
        <v>0,0235153749135915i</v>
      </c>
      <c r="AU351">
        <f t="shared" si="352"/>
        <v>0.0235153749135915</v>
      </c>
      <c r="AV351">
        <f t="shared" si="353"/>
        <v>1.5707963267949</v>
      </c>
      <c r="AW351" t="str">
        <f t="shared" si="329"/>
        <v>1+3,81645829491234i</v>
      </c>
      <c r="AX351">
        <f t="shared" si="354"/>
        <v>3.94529516219068</v>
      </c>
      <c r="AY351">
        <f t="shared" si="355"/>
        <v>1.31453426282516</v>
      </c>
      <c r="AZ351" t="str">
        <f t="shared" si="330"/>
        <v>1+33,3143657304071i</v>
      </c>
      <c r="BA351">
        <f t="shared" si="356"/>
        <v>33.3293708914423</v>
      </c>
      <c r="BB351">
        <f t="shared" si="357"/>
        <v>1.54078825674349</v>
      </c>
      <c r="BC351" s="30" t="str">
        <f t="shared" si="358"/>
        <v>-0,0272765617206015+0,118493062117248i</v>
      </c>
      <c r="BD351" s="32">
        <f t="shared" si="359"/>
        <v>-18.3018993358935</v>
      </c>
      <c r="BE351" s="31">
        <f t="shared" si="360"/>
        <v>102.963398949499</v>
      </c>
      <c r="BF351" s="30" t="str">
        <f t="shared" si="361"/>
        <v>0,0625192574694679-0,100537368103219i</v>
      </c>
      <c r="BG351" s="68">
        <f t="shared" si="362"/>
        <v>-18.5336289927937</v>
      </c>
      <c r="BH351" s="31">
        <f t="shared" si="363"/>
        <v>-58.1245460771951</v>
      </c>
      <c r="BI351" s="30" t="str">
        <f t="shared" si="316"/>
        <v>0,380236199560596+0,000378039360145993i</v>
      </c>
      <c r="BJ351" s="68">
        <f t="shared" si="364"/>
        <v>-8.39892649590557</v>
      </c>
      <c r="BK351" s="31">
        <f t="shared" si="317"/>
        <v>0.0569647306447772</v>
      </c>
      <c r="BL351" s="32">
        <f t="shared" si="365"/>
        <v>-18.5336289927937</v>
      </c>
      <c r="BM351" s="31">
        <f t="shared" si="366"/>
        <v>-58.1245460771951</v>
      </c>
      <c r="BO351">
        <f t="shared" si="367"/>
        <v>0</v>
      </c>
      <c r="BP351">
        <f t="shared" si="368"/>
        <v>0</v>
      </c>
    </row>
    <row r="352" spans="14:68">
      <c r="N352" s="7">
        <v>34</v>
      </c>
      <c r="O352" s="18">
        <f t="shared" si="318"/>
        <v>21877.6162394955</v>
      </c>
      <c r="P352" s="86" t="str">
        <f t="shared" si="319"/>
        <v>15</v>
      </c>
      <c r="Q352" s="4" t="str">
        <f t="shared" si="320"/>
        <v>1+40,0928257660326i</v>
      </c>
      <c r="R352" s="4">
        <f t="shared" si="331"/>
        <v>40.105294886155</v>
      </c>
      <c r="S352" s="4">
        <f t="shared" si="332"/>
        <v>1.5458593788868</v>
      </c>
      <c r="T352" s="4" t="str">
        <f t="shared" si="321"/>
        <v>1+0,0274922233824224i</v>
      </c>
      <c r="U352" s="4">
        <f t="shared" si="333"/>
        <v>1.0003778397918</v>
      </c>
      <c r="V352" s="4">
        <f t="shared" si="334"/>
        <v>0.0274853001095474</v>
      </c>
      <c r="W352" t="str">
        <f t="shared" si="322"/>
        <v>1-2,40556954596196i</v>
      </c>
      <c r="X352" s="4">
        <f t="shared" si="335"/>
        <v>2.60514200005674</v>
      </c>
      <c r="Y352" s="4">
        <f t="shared" si="336"/>
        <v>-1.17682747832014</v>
      </c>
      <c r="Z352" t="str">
        <f t="shared" si="323"/>
        <v>0,996596408232372+0,127642465704104i</v>
      </c>
      <c r="AA352" s="4">
        <f t="shared" si="337"/>
        <v>1.00473727906985</v>
      </c>
      <c r="AB352" s="4">
        <f t="shared" si="338"/>
        <v>0.127384869700058</v>
      </c>
      <c r="AC352" s="67" t="str">
        <f t="shared" si="339"/>
        <v>-0,92118999605585-0,304256950921965i</v>
      </c>
      <c r="AD352" s="68">
        <f t="shared" si="340"/>
        <v>-0.263350157036629</v>
      </c>
      <c r="AE352" s="31">
        <f t="shared" si="341"/>
        <v>-161.722289566405</v>
      </c>
      <c r="AF352" s="32" t="str">
        <f t="shared" si="342"/>
        <v>75,4669735059805</v>
      </c>
      <c r="AG352" s="32" t="str">
        <f t="shared" si="324"/>
        <v>1+25,773959421021i</v>
      </c>
      <c r="AH352" s="32">
        <f t="shared" si="343"/>
        <v>25.7933515510574</v>
      </c>
      <c r="AI352" s="32">
        <f t="shared" si="344"/>
        <v>1.53201692729322</v>
      </c>
      <c r="AJ352" s="32" t="str">
        <f t="shared" si="325"/>
        <v>1+0,0274922233824224i</v>
      </c>
      <c r="AK352" s="32">
        <f t="shared" si="345"/>
        <v>1.0003778397918</v>
      </c>
      <c r="AL352" s="32">
        <f t="shared" si="346"/>
        <v>0.0274853001095474</v>
      </c>
      <c r="AM352" s="32" t="str">
        <f t="shared" si="326"/>
        <v>1-0,307372401678528i</v>
      </c>
      <c r="AN352" s="32">
        <f t="shared" si="347"/>
        <v>1.04617292706016</v>
      </c>
      <c r="AO352" s="32">
        <f t="shared" si="348"/>
        <v>-0.298206666847551</v>
      </c>
      <c r="AP352" s="30" t="str">
        <f t="shared" si="349"/>
        <v>-0,703874227068351-2,98008423435909i</v>
      </c>
      <c r="AQ352" s="32">
        <f t="shared" si="350"/>
        <v>9.72033392115554</v>
      </c>
      <c r="AR352" s="31">
        <f t="shared" si="351"/>
        <v>-103.289295814603</v>
      </c>
      <c r="AS352" t="str">
        <f t="shared" si="327"/>
        <v>-0,000338461538461538</v>
      </c>
      <c r="AT352" t="str">
        <f t="shared" si="328"/>
        <v>0,0240631183599328i</v>
      </c>
      <c r="AU352">
        <f t="shared" si="352"/>
        <v>0.0240631183599328</v>
      </c>
      <c r="AV352">
        <f t="shared" si="353"/>
        <v>1.5707963267949</v>
      </c>
      <c r="AW352" t="str">
        <f t="shared" si="329"/>
        <v>1+3,90535502851555i</v>
      </c>
      <c r="AX352">
        <f t="shared" si="354"/>
        <v>4.03135186987587</v>
      </c>
      <c r="AY352">
        <f t="shared" si="355"/>
        <v>1.32012356846135</v>
      </c>
      <c r="AZ352" t="str">
        <f t="shared" si="330"/>
        <v>1+34,0903569942038i</v>
      </c>
      <c r="BA352">
        <f t="shared" si="356"/>
        <v>34.105020744639</v>
      </c>
      <c r="BB352">
        <f t="shared" si="357"/>
        <v>1.5414709277075</v>
      </c>
      <c r="BC352" s="30" t="str">
        <f t="shared" si="358"/>
        <v>-0,0261244533964674+0,116090838046907i</v>
      </c>
      <c r="BD352" s="32">
        <f t="shared" si="359"/>
        <v>-18.489499430288</v>
      </c>
      <c r="BE352" s="31">
        <f t="shared" si="360"/>
        <v>102.682269491171</v>
      </c>
      <c r="BF352" s="30" t="str">
        <f t="shared" si="361"/>
        <v>0,0593870295353806-0,0989931721076384i</v>
      </c>
      <c r="BG352" s="68">
        <f t="shared" si="362"/>
        <v>-18.7528495873247</v>
      </c>
      <c r="BH352" s="31">
        <f t="shared" si="363"/>
        <v>-59.0400200752347</v>
      </c>
      <c r="BI352" s="30" t="str">
        <f t="shared" si="316"/>
        <v>0,364348805659144-0,00386027720192249i</v>
      </c>
      <c r="BJ352" s="68">
        <f t="shared" si="364"/>
        <v>-8.76916550913248</v>
      </c>
      <c r="BK352" s="31">
        <f t="shared" si="317"/>
        <v>-0.607026323432385</v>
      </c>
      <c r="BL352" s="32">
        <f t="shared" si="365"/>
        <v>-18.7528495873247</v>
      </c>
      <c r="BM352" s="31">
        <f t="shared" si="366"/>
        <v>-59.0400200752347</v>
      </c>
      <c r="BO352">
        <f t="shared" si="367"/>
        <v>0</v>
      </c>
      <c r="BP352">
        <f t="shared" si="368"/>
        <v>0</v>
      </c>
    </row>
    <row r="353" spans="14:68">
      <c r="N353" s="7">
        <v>35</v>
      </c>
      <c r="O353" s="18">
        <f t="shared" si="318"/>
        <v>22387.2113856834</v>
      </c>
      <c r="P353" s="86" t="str">
        <f t="shared" si="319"/>
        <v>15</v>
      </c>
      <c r="Q353" s="4" t="str">
        <f t="shared" si="320"/>
        <v>1+41,0267076471143i</v>
      </c>
      <c r="R353" s="4">
        <f t="shared" si="331"/>
        <v>41.0388930206674</v>
      </c>
      <c r="S353" s="4">
        <f t="shared" si="332"/>
        <v>1.54642678579771</v>
      </c>
      <c r="T353" s="4" t="str">
        <f t="shared" si="321"/>
        <v>1+0,0281325995294498i</v>
      </c>
      <c r="U353" s="4">
        <f t="shared" si="333"/>
        <v>1.00039564331133</v>
      </c>
      <c r="V353" s="4">
        <f t="shared" si="334"/>
        <v>0.0281251812673556</v>
      </c>
      <c r="W353" t="str">
        <f t="shared" si="322"/>
        <v>1-2,46160245882686i</v>
      </c>
      <c r="X353" s="4">
        <f t="shared" si="335"/>
        <v>2.6569694513303</v>
      </c>
      <c r="Y353" s="4">
        <f t="shared" si="336"/>
        <v>-1.18492272303</v>
      </c>
      <c r="Z353" t="str">
        <f t="shared" si="323"/>
        <v>0,996436001894206+0,130615640672445i</v>
      </c>
      <c r="AA353" s="4">
        <f t="shared" si="337"/>
        <v>1.00496027357263</v>
      </c>
      <c r="AB353" s="4">
        <f t="shared" si="338"/>
        <v>0.130339680332178</v>
      </c>
      <c r="AC353" s="67" t="str">
        <f t="shared" si="339"/>
        <v>-0,921228767312014-0,293093759196944i</v>
      </c>
      <c r="AD353" s="68">
        <f t="shared" si="340"/>
        <v>-0.293898400695374</v>
      </c>
      <c r="AE353" s="31">
        <f t="shared" si="341"/>
        <v>-162.351258632417</v>
      </c>
      <c r="AF353" s="32" t="str">
        <f t="shared" si="342"/>
        <v>75,4669735059805</v>
      </c>
      <c r="AG353" s="32" t="str">
        <f t="shared" si="324"/>
        <v>1+26,3743120588592i</v>
      </c>
      <c r="AH353" s="32">
        <f t="shared" si="343"/>
        <v>26.3932630907602</v>
      </c>
      <c r="AI353" s="32">
        <f t="shared" si="344"/>
        <v>1.5328987994181</v>
      </c>
      <c r="AJ353" s="32" t="str">
        <f t="shared" si="325"/>
        <v>1+0,0281325995294498i</v>
      </c>
      <c r="AK353" s="32">
        <f t="shared" si="345"/>
        <v>1.00039564331133</v>
      </c>
      <c r="AL353" s="32">
        <f t="shared" si="346"/>
        <v>0.0281251812673556</v>
      </c>
      <c r="AM353" s="32" t="str">
        <f t="shared" si="326"/>
        <v>1-0,314532024658142i</v>
      </c>
      <c r="AN353" s="32">
        <f t="shared" si="347"/>
        <v>1.04829880975586</v>
      </c>
      <c r="AO353" s="32">
        <f t="shared" si="348"/>
        <v>-0.304735035464315</v>
      </c>
      <c r="AP353" s="30" t="str">
        <f t="shared" si="349"/>
        <v>-0,709027541897111-2,91358417999482i</v>
      </c>
      <c r="AQ353" s="32">
        <f t="shared" si="350"/>
        <v>9.53841462269459</v>
      </c>
      <c r="AR353" s="31">
        <f t="shared" si="351"/>
        <v>-103.677208844543</v>
      </c>
      <c r="AS353" t="str">
        <f t="shared" si="327"/>
        <v>-0,000338461538461538</v>
      </c>
      <c r="AT353" t="str">
        <f t="shared" si="328"/>
        <v>0,0246236203901416i</v>
      </c>
      <c r="AU353">
        <f t="shared" si="352"/>
        <v>0.0246236203901416</v>
      </c>
      <c r="AV353">
        <f t="shared" si="353"/>
        <v>1.5707963267949</v>
      </c>
      <c r="AW353" t="str">
        <f t="shared" si="329"/>
        <v>1+3,99632243304835i</v>
      </c>
      <c r="AX353">
        <f t="shared" si="354"/>
        <v>4.11953795817996</v>
      </c>
      <c r="AY353">
        <f t="shared" si="355"/>
        <v>1.32560114885126</v>
      </c>
      <c r="AZ353" t="str">
        <f t="shared" si="330"/>
        <v>1+34,8844234165177i</v>
      </c>
      <c r="BA353">
        <f t="shared" si="356"/>
        <v>34.8987535178964</v>
      </c>
      <c r="BB353">
        <f t="shared" si="357"/>
        <v>1.54213808560388</v>
      </c>
      <c r="BC353" s="30" t="str">
        <f t="shared" si="358"/>
        <v>-0,0250179435151621+0,11372516998477i</v>
      </c>
      <c r="BD353" s="32">
        <f t="shared" si="359"/>
        <v>-18.6776235288913</v>
      </c>
      <c r="BE353" s="31">
        <f t="shared" si="360"/>
        <v>102.406652584617</v>
      </c>
      <c r="BF353" s="30" t="str">
        <f t="shared" si="361"/>
        <v>0,0563793868513021-0,0974342950451832i</v>
      </c>
      <c r="BG353" s="68">
        <f t="shared" si="362"/>
        <v>-18.9715219295867</v>
      </c>
      <c r="BH353" s="31">
        <f t="shared" si="363"/>
        <v>-59.9446060478001</v>
      </c>
      <c r="BI353" s="30" t="str">
        <f t="shared" si="316"/>
        <v>0,349086267128724-0,00774239328435229i</v>
      </c>
      <c r="BJ353" s="68">
        <f t="shared" si="364"/>
        <v>-9.13920890619675</v>
      </c>
      <c r="BK353" s="31">
        <f t="shared" si="317"/>
        <v>-1.27055625992654</v>
      </c>
      <c r="BL353" s="32">
        <f t="shared" si="365"/>
        <v>-18.9715219295867</v>
      </c>
      <c r="BM353" s="31">
        <f t="shared" si="366"/>
        <v>-59.9446060478001</v>
      </c>
      <c r="BO353">
        <f t="shared" si="367"/>
        <v>0</v>
      </c>
      <c r="BP353">
        <f t="shared" si="368"/>
        <v>0</v>
      </c>
    </row>
    <row r="354" spans="14:68">
      <c r="N354" s="7">
        <v>36</v>
      </c>
      <c r="O354" s="18">
        <f t="shared" si="318"/>
        <v>22908.6765276778</v>
      </c>
      <c r="P354" s="86" t="str">
        <f t="shared" si="319"/>
        <v>15</v>
      </c>
      <c r="Q354" s="4" t="str">
        <f t="shared" si="320"/>
        <v>1+41,9823424316435i</v>
      </c>
      <c r="R354" s="4">
        <f t="shared" si="331"/>
        <v>41.9942505117995</v>
      </c>
      <c r="S354" s="4">
        <f t="shared" si="332"/>
        <v>1.54698129211644</v>
      </c>
      <c r="T354" s="4" t="str">
        <f t="shared" si="321"/>
        <v>1+0,028787891953127i</v>
      </c>
      <c r="U354" s="4">
        <f t="shared" si="333"/>
        <v>1.0004142855453</v>
      </c>
      <c r="V354" s="4">
        <f t="shared" si="334"/>
        <v>0.0287799433198528</v>
      </c>
      <c r="W354" t="str">
        <f t="shared" si="322"/>
        <v>1-2,51894054589861i</v>
      </c>
      <c r="X354" s="4">
        <f t="shared" si="335"/>
        <v>2.71017738787925</v>
      </c>
      <c r="Y354" s="4">
        <f t="shared" si="336"/>
        <v>-1.19288548091285</v>
      </c>
      <c r="Z354" t="str">
        <f t="shared" si="323"/>
        <v>0,996268035838224+0,133658069782375i</v>
      </c>
      <c r="AA354" s="4">
        <f t="shared" si="337"/>
        <v>1.00519375189607</v>
      </c>
      <c r="AB354" s="4">
        <f t="shared" si="338"/>
        <v>0.133362438834166</v>
      </c>
      <c r="AC354" s="67" t="str">
        <f t="shared" si="339"/>
        <v>-0,921228654287139-0,282088544736315i</v>
      </c>
      <c r="AD354" s="68">
        <f t="shared" si="340"/>
        <v>-0.323415077684416</v>
      </c>
      <c r="AE354" s="31">
        <f t="shared" si="341"/>
        <v>-162.974938126622</v>
      </c>
      <c r="AF354" s="32" t="str">
        <f t="shared" si="342"/>
        <v>75,4669735059805</v>
      </c>
      <c r="AG354" s="32" t="str">
        <f t="shared" si="324"/>
        <v>1+26,9886487060566i</v>
      </c>
      <c r="AH354" s="32">
        <f t="shared" si="343"/>
        <v>27.0071686590603</v>
      </c>
      <c r="AI354" s="32">
        <f t="shared" si="344"/>
        <v>1.53376065467206</v>
      </c>
      <c r="AJ354" s="32" t="str">
        <f t="shared" si="325"/>
        <v>1+0,028787891953127i</v>
      </c>
      <c r="AK354" s="32">
        <f t="shared" si="345"/>
        <v>1.0004142855453</v>
      </c>
      <c r="AL354" s="32">
        <f t="shared" si="346"/>
        <v>0.0287799433198528</v>
      </c>
      <c r="AM354" s="32" t="str">
        <f t="shared" si="326"/>
        <v>1-0,321858416680556i</v>
      </c>
      <c r="AN354" s="32">
        <f t="shared" si="347"/>
        <v>1.05052027128852</v>
      </c>
      <c r="AO354" s="32">
        <f t="shared" si="348"/>
        <v>-0.311387825651321</v>
      </c>
      <c r="AP354" s="30" t="str">
        <f t="shared" si="349"/>
        <v>-0,713949570317156-2,84861137785893i</v>
      </c>
      <c r="AQ354" s="32">
        <f t="shared" si="350"/>
        <v>9.35724397623376</v>
      </c>
      <c r="AR354" s="31">
        <f t="shared" si="351"/>
        <v>-104.070251210654</v>
      </c>
      <c r="AS354" t="str">
        <f t="shared" si="327"/>
        <v>-0,000338461538461538</v>
      </c>
      <c r="AT354" t="str">
        <f t="shared" si="328"/>
        <v>0,0251971781898134i</v>
      </c>
      <c r="AU354">
        <f t="shared" si="352"/>
        <v>0.0251971781898134</v>
      </c>
      <c r="AV354">
        <f t="shared" si="353"/>
        <v>1.5707963267949</v>
      </c>
      <c r="AW354" t="str">
        <f t="shared" si="329"/>
        <v>1+4,08940874063278i</v>
      </c>
      <c r="AX354">
        <f t="shared" si="354"/>
        <v>4.20990069336128</v>
      </c>
      <c r="AY354">
        <f t="shared" si="355"/>
        <v>1.33096859293295</v>
      </c>
      <c r="AZ354" t="str">
        <f t="shared" si="330"/>
        <v>1+35,6969860218775i</v>
      </c>
      <c r="BA354">
        <f t="shared" si="356"/>
        <v>35.7109900597298</v>
      </c>
      <c r="BB354">
        <f t="shared" si="357"/>
        <v>1.5427900817916</v>
      </c>
      <c r="BC354" s="30" t="str">
        <f t="shared" si="358"/>
        <v>-0,0239554824922115+0,111396277048314i</v>
      </c>
      <c r="BD354" s="32">
        <f t="shared" si="359"/>
        <v>-18.8662508735798</v>
      </c>
      <c r="BE354" s="31">
        <f t="shared" si="360"/>
        <v>102.136477321778</v>
      </c>
      <c r="BF354" s="30" t="str">
        <f t="shared" si="361"/>
        <v>0,0534920905807014-0,0958638752031314i</v>
      </c>
      <c r="BG354" s="68">
        <f t="shared" si="362"/>
        <v>-19.1896659512642</v>
      </c>
      <c r="BH354" s="31">
        <f t="shared" si="363"/>
        <v>-60.8384608048448</v>
      </c>
      <c r="BI354" s="30" t="str">
        <f t="shared" si="316"/>
        <v>0,334427708683007-0,0112914641441606i</v>
      </c>
      <c r="BJ354" s="68">
        <f t="shared" si="364"/>
        <v>-9.50900689734609</v>
      </c>
      <c r="BK354" s="31">
        <f t="shared" si="317"/>
        <v>-1.93377388887674</v>
      </c>
      <c r="BL354" s="32">
        <f t="shared" si="365"/>
        <v>-19.1896659512642</v>
      </c>
      <c r="BM354" s="31">
        <f t="shared" si="366"/>
        <v>-60.8384608048448</v>
      </c>
      <c r="BO354">
        <f t="shared" si="367"/>
        <v>0</v>
      </c>
      <c r="BP354">
        <f t="shared" si="368"/>
        <v>0</v>
      </c>
    </row>
    <row r="355" spans="14:68">
      <c r="N355" s="7">
        <v>37</v>
      </c>
      <c r="O355" s="18">
        <f t="shared" si="318"/>
        <v>23442.2881531992</v>
      </c>
      <c r="P355" s="86" t="str">
        <f t="shared" si="319"/>
        <v>15</v>
      </c>
      <c r="Q355" s="4" t="str">
        <f t="shared" si="320"/>
        <v>1+42,9602368098318i</v>
      </c>
      <c r="R355" s="4">
        <f t="shared" si="331"/>
        <v>42.9718739032501</v>
      </c>
      <c r="S355" s="4">
        <f t="shared" si="332"/>
        <v>1.5475231904848</v>
      </c>
      <c r="T355" s="4" t="str">
        <f t="shared" si="321"/>
        <v>1+0,0294584480981704i</v>
      </c>
      <c r="U355" s="4">
        <f t="shared" si="333"/>
        <v>1.00043380598836</v>
      </c>
      <c r="V355" s="4">
        <f t="shared" si="334"/>
        <v>0.0294499311836183</v>
      </c>
      <c r="W355" t="str">
        <f t="shared" si="322"/>
        <v>1-2,57761420858991i</v>
      </c>
      <c r="X355" s="4">
        <f t="shared" si="335"/>
        <v>2.76479565399047</v>
      </c>
      <c r="Y355" s="4">
        <f t="shared" si="336"/>
        <v>-1.20071593382709</v>
      </c>
      <c r="Z355" t="str">
        <f t="shared" si="323"/>
        <v>0,996092153785901+0,136771366170076i</v>
      </c>
      <c r="AA355" s="4">
        <f t="shared" si="337"/>
        <v>1.00543820567843</v>
      </c>
      <c r="AB355" s="4">
        <f t="shared" si="338"/>
        <v>0.136454665782664</v>
      </c>
      <c r="AC355" s="67" t="str">
        <f t="shared" si="339"/>
        <v>-0,921189700722689-0,271235787167148i</v>
      </c>
      <c r="AD355" s="68">
        <f t="shared" si="340"/>
        <v>-0.35194041529423</v>
      </c>
      <c r="AE355" s="31">
        <f t="shared" si="341"/>
        <v>-163.593422596243</v>
      </c>
      <c r="AF355" s="32" t="str">
        <f t="shared" si="342"/>
        <v>75,4669735059805</v>
      </c>
      <c r="AG355" s="32" t="str">
        <f t="shared" si="324"/>
        <v>1+27,6172950920348i</v>
      </c>
      <c r="AH355" s="32">
        <f t="shared" si="343"/>
        <v>27.6353937587386</v>
      </c>
      <c r="AI355" s="32">
        <f t="shared" si="344"/>
        <v>1.5346029448978</v>
      </c>
      <c r="AJ355" s="32" t="str">
        <f t="shared" si="325"/>
        <v>1+0,0294584480981704i</v>
      </c>
      <c r="AK355" s="32">
        <f t="shared" si="345"/>
        <v>1.00043380598836</v>
      </c>
      <c r="AL355" s="32">
        <f t="shared" si="346"/>
        <v>0.0294499311836183</v>
      </c>
      <c r="AM355" s="32" t="str">
        <f t="shared" si="326"/>
        <v>1-0,329355462295792i</v>
      </c>
      <c r="AN355" s="32">
        <f t="shared" si="347"/>
        <v>1.05284140331964</v>
      </c>
      <c r="AO355" s="32">
        <f t="shared" si="348"/>
        <v>-0.318166208374752</v>
      </c>
      <c r="AP355" s="30" t="str">
        <f t="shared" si="349"/>
        <v>-0,718650664768926-2,7851325479642i</v>
      </c>
      <c r="AQ355" s="32">
        <f t="shared" si="350"/>
        <v>9.17685181426848</v>
      </c>
      <c r="AR355" s="31">
        <f t="shared" si="351"/>
        <v>-104.468496130772</v>
      </c>
      <c r="AS355" t="str">
        <f t="shared" si="327"/>
        <v>-0,000338461538461538</v>
      </c>
      <c r="AT355" t="str">
        <f t="shared" si="328"/>
        <v>0,0257840958668855i</v>
      </c>
      <c r="AU355">
        <f t="shared" si="352"/>
        <v>0.0257840958668855</v>
      </c>
      <c r="AV355">
        <f t="shared" si="353"/>
        <v>1.5707963267949</v>
      </c>
      <c r="AW355" t="str">
        <f t="shared" si="329"/>
        <v>1+4,18466330686119i</v>
      </c>
      <c r="AX355">
        <f t="shared" si="354"/>
        <v>4.30248846503863</v>
      </c>
      <c r="AY355">
        <f t="shared" si="355"/>
        <v>1.33622750899881</v>
      </c>
      <c r="AZ355" t="str">
        <f t="shared" si="330"/>
        <v>1+36,5284756417313i</v>
      </c>
      <c r="BA355">
        <f t="shared" si="356"/>
        <v>36.5421610295362</v>
      </c>
      <c r="BB355">
        <f t="shared" si="357"/>
        <v>1.54342725974908</v>
      </c>
      <c r="BC355" s="30" t="str">
        <f t="shared" si="358"/>
        <v>-0,0229355519546968+0,109104318816822i</v>
      </c>
      <c r="BD355" s="32">
        <f t="shared" si="359"/>
        <v>-19.0553614129398</v>
      </c>
      <c r="BE355" s="31">
        <f t="shared" si="360"/>
        <v>101.871671234153</v>
      </c>
      <c r="BF355" s="30" t="str">
        <f t="shared" si="361"/>
        <v>0,050720990038673-0,0942848323098759i</v>
      </c>
      <c r="BG355" s="68">
        <f t="shared" si="362"/>
        <v>-19.407301828234</v>
      </c>
      <c r="BH355" s="31">
        <f t="shared" si="363"/>
        <v>-61.7217513620901</v>
      </c>
      <c r="BI355" s="30" t="str">
        <f t="shared" si="316"/>
        <v>0,320352639119279-0,01452933899232i</v>
      </c>
      <c r="BJ355" s="68">
        <f t="shared" si="364"/>
        <v>-9.87850959867129</v>
      </c>
      <c r="BK355" s="31">
        <f t="shared" si="317"/>
        <v>-2.59682489661878</v>
      </c>
      <c r="BL355" s="32">
        <f t="shared" si="365"/>
        <v>-19.407301828234</v>
      </c>
      <c r="BM355" s="31">
        <f t="shared" si="366"/>
        <v>-61.7217513620901</v>
      </c>
      <c r="BO355">
        <f t="shared" si="367"/>
        <v>0</v>
      </c>
      <c r="BP355">
        <f t="shared" si="368"/>
        <v>0</v>
      </c>
    </row>
    <row r="356" spans="14:68">
      <c r="N356" s="7">
        <v>38</v>
      </c>
      <c r="O356" s="18">
        <f t="shared" si="318"/>
        <v>23988.3291901949</v>
      </c>
      <c r="P356" s="86" t="str">
        <f t="shared" si="319"/>
        <v>15</v>
      </c>
      <c r="Q356" s="4" t="str">
        <f t="shared" si="320"/>
        <v>1+43,9609092742225i</v>
      </c>
      <c r="R356" s="4">
        <f t="shared" si="331"/>
        <v>43.9722815443595</v>
      </c>
      <c r="S356" s="4">
        <f t="shared" si="332"/>
        <v>1.54805276695073</v>
      </c>
      <c r="T356" s="4" t="str">
        <f t="shared" si="321"/>
        <v>1+0,030144623502324i</v>
      </c>
      <c r="U356" s="4">
        <f t="shared" si="333"/>
        <v>1.00045424599334</v>
      </c>
      <c r="V356" s="4">
        <f t="shared" si="334"/>
        <v>0.0301354976877359</v>
      </c>
      <c r="W356" t="str">
        <f t="shared" si="322"/>
        <v>1-2,63765455645335i</v>
      </c>
      <c r="X356" s="4">
        <f t="shared" si="335"/>
        <v>2.82085475683863</v>
      </c>
      <c r="Y356" s="4">
        <f t="shared" si="336"/>
        <v>-1.20841439149813</v>
      </c>
      <c r="Z356" t="str">
        <f t="shared" si="323"/>
        <v>0,995907982667825+0,139957180546504i</v>
      </c>
      <c r="AA356" s="4">
        <f t="shared" si="337"/>
        <v>1.00569414949478</v>
      </c>
      <c r="AB356" s="4">
        <f t="shared" si="338"/>
        <v>0.139617912813651</v>
      </c>
      <c r="AC356" s="67" t="str">
        <f t="shared" si="339"/>
        <v>-0,921111872713557-0,260530059909733i</v>
      </c>
      <c r="AD356" s="68">
        <f t="shared" si="340"/>
        <v>-0.379514151308926</v>
      </c>
      <c r="AE356" s="31">
        <f t="shared" si="341"/>
        <v>-164.206814863153</v>
      </c>
      <c r="AF356" s="32" t="str">
        <f t="shared" si="342"/>
        <v>75,4669735059805</v>
      </c>
      <c r="AG356" s="32" t="str">
        <f t="shared" si="324"/>
        <v>1+28,2605845334288i</v>
      </c>
      <c r="AH356" s="32">
        <f t="shared" si="343"/>
        <v>28.2782714848534</v>
      </c>
      <c r="AI356" s="32">
        <f t="shared" si="344"/>
        <v>1.53542611190547</v>
      </c>
      <c r="AJ356" s="32" t="str">
        <f t="shared" si="325"/>
        <v>1+0,030144623502324i</v>
      </c>
      <c r="AK356" s="32">
        <f t="shared" si="345"/>
        <v>1.00045424599334</v>
      </c>
      <c r="AL356" s="32">
        <f t="shared" si="346"/>
        <v>0.0301354976877359</v>
      </c>
      <c r="AM356" s="32" t="str">
        <f t="shared" si="326"/>
        <v>1-0,337027136536671i</v>
      </c>
      <c r="AN356" s="32">
        <f t="shared" si="347"/>
        <v>1.05526645486441</v>
      </c>
      <c r="AO356" s="32">
        <f t="shared" si="348"/>
        <v>-0.325071285222038</v>
      </c>
      <c r="AP356" s="30" t="str">
        <f t="shared" si="349"/>
        <v>-0,723140716771147-2,7231151247365i</v>
      </c>
      <c r="AQ356" s="32">
        <f t="shared" si="350"/>
        <v>8.99726877196949</v>
      </c>
      <c r="AR356" s="31">
        <f t="shared" si="351"/>
        <v>-104.872011819448</v>
      </c>
      <c r="AS356" t="str">
        <f t="shared" si="327"/>
        <v>-0,000338461538461538</v>
      </c>
      <c r="AT356" t="str">
        <f t="shared" si="328"/>
        <v>0,0263846846128791i</v>
      </c>
      <c r="AU356">
        <f t="shared" si="352"/>
        <v>0.0263846846128791</v>
      </c>
      <c r="AV356">
        <f t="shared" si="353"/>
        <v>1.5707963267949</v>
      </c>
      <c r="AW356" t="str">
        <f t="shared" si="329"/>
        <v>1+4,28213663696545i</v>
      </c>
      <c r="AX356">
        <f t="shared" si="354"/>
        <v>4.39735081357421</v>
      </c>
      <c r="AY356">
        <f t="shared" si="355"/>
        <v>1.3413795213553</v>
      </c>
      <c r="AZ356" t="str">
        <f t="shared" si="330"/>
        <v>1+37,3793331428817i</v>
      </c>
      <c r="BA356">
        <f t="shared" si="356"/>
        <v>37.3927071259428</v>
      </c>
      <c r="BB356">
        <f t="shared" si="357"/>
        <v>1.54404995524581</v>
      </c>
      <c r="BC356" s="30" t="str">
        <f t="shared" si="358"/>
        <v>-0,021956666062685+0,106849398852693i</v>
      </c>
      <c r="BD356" s="32">
        <f t="shared" si="359"/>
        <v>-19.2449357879574</v>
      </c>
      <c r="BE356" s="31">
        <f t="shared" si="360"/>
        <v>101.612160494011</v>
      </c>
      <c r="BF356" s="30" t="str">
        <f t="shared" si="361"/>
        <v>0,048062026079957-0,0926998783507925i</v>
      </c>
      <c r="BG356" s="68">
        <f t="shared" si="362"/>
        <v>-19.6244499392663</v>
      </c>
      <c r="BH356" s="31">
        <f t="shared" si="363"/>
        <v>-62.5946543691413</v>
      </c>
      <c r="BI356" s="30" t="str">
        <f t="shared" si="316"/>
        <v>0,306840973319246-0,0174766214288164i</v>
      </c>
      <c r="BJ356" s="68">
        <f t="shared" si="364"/>
        <v>-10.2476670159879</v>
      </c>
      <c r="BK356" s="31">
        <f t="shared" si="317"/>
        <v>-3.2598513254368</v>
      </c>
      <c r="BL356" s="32">
        <f t="shared" si="365"/>
        <v>-19.6244499392663</v>
      </c>
      <c r="BM356" s="31">
        <f t="shared" si="366"/>
        <v>-62.5946543691413</v>
      </c>
      <c r="BO356">
        <f t="shared" si="367"/>
        <v>0</v>
      </c>
      <c r="BP356">
        <f t="shared" si="368"/>
        <v>0</v>
      </c>
    </row>
    <row r="357" spans="14:68">
      <c r="N357" s="7">
        <v>39</v>
      </c>
      <c r="O357" s="18">
        <f t="shared" si="318"/>
        <v>24547.0891568503</v>
      </c>
      <c r="P357" s="86" t="str">
        <f t="shared" si="319"/>
        <v>15</v>
      </c>
      <c r="Q357" s="4" t="str">
        <f t="shared" si="320"/>
        <v>1+44,9848903946018i</v>
      </c>
      <c r="R357" s="4">
        <f t="shared" si="331"/>
        <v>44.9960038649471</v>
      </c>
      <c r="S357" s="4">
        <f t="shared" si="332"/>
        <v>1.54857030111382</v>
      </c>
      <c r="T357" s="4" t="str">
        <f t="shared" si="321"/>
        <v>1+0,0308467819848698i</v>
      </c>
      <c r="U357" s="4">
        <f t="shared" si="333"/>
        <v>1.00047564885849</v>
      </c>
      <c r="V357" s="4">
        <f t="shared" si="334"/>
        <v>0.0308370037494278</v>
      </c>
      <c r="W357" t="str">
        <f t="shared" si="322"/>
        <v>1-2,69909342367611i</v>
      </c>
      <c r="X357" s="4">
        <f t="shared" si="335"/>
        <v>2.87838588617503</v>
      </c>
      <c r="Y357" s="4">
        <f t="shared" si="336"/>
        <v>-1.21598128466567</v>
      </c>
      <c r="Z357" t="str">
        <f t="shared" si="323"/>
        <v>0,99571513183236+0,143217202072609i</v>
      </c>
      <c r="AA357" s="4">
        <f t="shared" si="337"/>
        <v>1.00596212191585</v>
      </c>
      <c r="AB357" s="4">
        <f t="shared" si="338"/>
        <v>0.142853763044225</v>
      </c>
      <c r="AC357" s="67" t="str">
        <f t="shared" si="339"/>
        <v>-0,920995059030278-0,249966028761532i</v>
      </c>
      <c r="AD357" s="68">
        <f t="shared" si="340"/>
        <v>-0.406175511565466</v>
      </c>
      <c r="AE357" s="31">
        <f t="shared" si="341"/>
        <v>-164.815225653688</v>
      </c>
      <c r="AF357" s="32" t="str">
        <f t="shared" si="342"/>
        <v>75,4669735059805</v>
      </c>
      <c r="AG357" s="32" t="str">
        <f t="shared" si="324"/>
        <v>1+28,9188581108155i</v>
      </c>
      <c r="AH357" s="32">
        <f t="shared" si="343"/>
        <v>28.9361427013602</v>
      </c>
      <c r="AI357" s="32">
        <f t="shared" si="344"/>
        <v>1.53623058768434</v>
      </c>
      <c r="AJ357" s="32" t="str">
        <f t="shared" si="325"/>
        <v>1+0,0308467819848698i</v>
      </c>
      <c r="AK357" s="32">
        <f t="shared" si="345"/>
        <v>1.00047564885849</v>
      </c>
      <c r="AL357" s="32">
        <f t="shared" si="346"/>
        <v>0.0308370037494278</v>
      </c>
      <c r="AM357" s="32" t="str">
        <f t="shared" si="326"/>
        <v>1-0,344877507026424i</v>
      </c>
      <c r="AN357" s="32">
        <f t="shared" si="347"/>
        <v>1.05779983685609</v>
      </c>
      <c r="AO357" s="32">
        <f t="shared" si="348"/>
        <v>-0.332104082594215</v>
      </c>
      <c r="AP357" s="30" t="str">
        <f t="shared" si="349"/>
        <v>-0,727429177226391-2,66252724489753i</v>
      </c>
      <c r="AQ357" s="32">
        <f t="shared" si="350"/>
        <v>8.81852628656089</v>
      </c>
      <c r="AR357" s="31">
        <f t="shared" si="351"/>
        <v>-105.280861157256</v>
      </c>
      <c r="AS357" t="str">
        <f t="shared" si="327"/>
        <v>-0,000338461538461538</v>
      </c>
      <c r="AT357" t="str">
        <f t="shared" si="328"/>
        <v>0,026999262867897i</v>
      </c>
      <c r="AU357">
        <f t="shared" si="352"/>
        <v>0.026999262867897</v>
      </c>
      <c r="AV357">
        <f t="shared" si="353"/>
        <v>1.5707963267949</v>
      </c>
      <c r="AW357" t="str">
        <f t="shared" si="329"/>
        <v>1+4,38188041259541i</v>
      </c>
      <c r="AX357">
        <f t="shared" si="354"/>
        <v>4.4945384579829</v>
      </c>
      <c r="AY357">
        <f t="shared" si="355"/>
        <v>1.34642626717594</v>
      </c>
      <c r="AZ357" t="str">
        <f t="shared" si="330"/>
        <v>1+38,2500096612385i</v>
      </c>
      <c r="BA357">
        <f t="shared" si="356"/>
        <v>38.2630793204734</v>
      </c>
      <c r="BB357">
        <f t="shared" si="357"/>
        <v>1.54465849651047</v>
      </c>
      <c r="BC357" s="30" t="str">
        <f t="shared" si="358"/>
        <v>-0,0210173726059987+0,104631568128528i</v>
      </c>
      <c r="BD357" s="32">
        <f t="shared" si="359"/>
        <v>-19.4349553171087</v>
      </c>
      <c r="BE357" s="31">
        <f t="shared" si="360"/>
        <v>101.357870104338</v>
      </c>
      <c r="BF357" s="30" t="str">
        <f t="shared" si="361"/>
        <v>0,0455112338921029-0,0911115280996413i</v>
      </c>
      <c r="BG357" s="68">
        <f t="shared" si="362"/>
        <v>-19.8411308286741</v>
      </c>
      <c r="BH357" s="31">
        <f t="shared" si="363"/>
        <v>-63.4573555493503</v>
      </c>
      <c r="BI357" s="30" t="str">
        <f t="shared" si="316"/>
        <v>0,2938730508808-0,0201527283360077i</v>
      </c>
      <c r="BJ357" s="68">
        <f t="shared" si="364"/>
        <v>-10.6164290305478</v>
      </c>
      <c r="BK357" s="31">
        <f t="shared" si="317"/>
        <v>-3.9229910529183</v>
      </c>
      <c r="BL357" s="32">
        <f t="shared" si="365"/>
        <v>-19.8411308286741</v>
      </c>
      <c r="BM357" s="31">
        <f t="shared" si="366"/>
        <v>-63.4573555493503</v>
      </c>
      <c r="BO357">
        <f t="shared" si="367"/>
        <v>0</v>
      </c>
      <c r="BP357">
        <f t="shared" si="368"/>
        <v>0</v>
      </c>
    </row>
    <row r="358" spans="14:68">
      <c r="N358" s="7">
        <v>40</v>
      </c>
      <c r="O358" s="18">
        <f t="shared" si="318"/>
        <v>25118.8643150959</v>
      </c>
      <c r="P358" s="86" t="str">
        <f t="shared" si="319"/>
        <v>15</v>
      </c>
      <c r="Q358" s="4" t="str">
        <f t="shared" si="320"/>
        <v>1+46,032723099314i</v>
      </c>
      <c r="R358" s="4">
        <f t="shared" si="331"/>
        <v>46.0435836565543</v>
      </c>
      <c r="S358" s="4">
        <f t="shared" si="332"/>
        <v>1.54907606626796</v>
      </c>
      <c r="T358" s="4" t="str">
        <f t="shared" si="321"/>
        <v>1+0,0315652958395296i</v>
      </c>
      <c r="U358" s="4">
        <f t="shared" si="333"/>
        <v>1.00049805991888</v>
      </c>
      <c r="V358" s="4">
        <f t="shared" si="334"/>
        <v>0.0315548185531645</v>
      </c>
      <c r="W358" t="str">
        <f t="shared" si="322"/>
        <v>1-2,76196338595884i</v>
      </c>
      <c r="X358" s="4">
        <f t="shared" si="335"/>
        <v>2.93742093431929</v>
      </c>
      <c r="Y358" s="4">
        <f t="shared" si="336"/>
        <v>-1.22341715828465</v>
      </c>
      <c r="Z358" t="str">
        <f t="shared" si="323"/>
        <v>0,99551319221703+0,146553159254958i</v>
      </c>
      <c r="AA358" s="4">
        <f t="shared" si="337"/>
        <v>1.00624268661479</v>
      </c>
      <c r="AB358" s="4">
        <f t="shared" si="338"/>
        <v>0.146163831483867</v>
      </c>
      <c r="AC358" s="67" t="str">
        <f t="shared" si="339"/>
        <v>-0,920839071317913-0,239538450586998i</v>
      </c>
      <c r="AD358" s="68">
        <f t="shared" si="340"/>
        <v>-0.431963191889476</v>
      </c>
      <c r="AE358" s="31">
        <f t="shared" si="341"/>
        <v>-165.41877323057</v>
      </c>
      <c r="AF358" s="32" t="str">
        <f t="shared" si="342"/>
        <v>75,4669735059805</v>
      </c>
      <c r="AG358" s="32" t="str">
        <f t="shared" si="324"/>
        <v>1+29,592464849559i</v>
      </c>
      <c r="AH358" s="32">
        <f t="shared" si="343"/>
        <v>29.6093562218496</v>
      </c>
      <c r="AI358" s="32">
        <f t="shared" si="344"/>
        <v>1.5370167946106</v>
      </c>
      <c r="AJ358" s="32" t="str">
        <f t="shared" si="325"/>
        <v>1+0,0315652958395296i</v>
      </c>
      <c r="AK358" s="32">
        <f t="shared" si="345"/>
        <v>1.00049805991888</v>
      </c>
      <c r="AL358" s="32">
        <f t="shared" si="346"/>
        <v>0.0315548185531645</v>
      </c>
      <c r="AM358" s="32" t="str">
        <f t="shared" si="326"/>
        <v>1-0,352910736135397i</v>
      </c>
      <c r="AN358" s="32">
        <f t="shared" si="347"/>
        <v>1.06044612672197</v>
      </c>
      <c r="AO358" s="32">
        <f t="shared" si="348"/>
        <v>-0.33926554571277</v>
      </c>
      <c r="AP358" s="30" t="str">
        <f t="shared" si="349"/>
        <v>-0,731525075851133-2,60333773538027i</v>
      </c>
      <c r="AQ358" s="32">
        <f t="shared" si="350"/>
        <v>8.64065659407188</v>
      </c>
      <c r="AR358" s="31">
        <f t="shared" si="351"/>
        <v>-105.69510134906</v>
      </c>
      <c r="AS358" t="str">
        <f t="shared" si="327"/>
        <v>-0,000338461538461538</v>
      </c>
      <c r="AT358" t="str">
        <f t="shared" si="328"/>
        <v>0,0276281564894651i</v>
      </c>
      <c r="AU358">
        <f t="shared" si="352"/>
        <v>0.0276281564894651</v>
      </c>
      <c r="AV358">
        <f t="shared" si="353"/>
        <v>1.5707963267949</v>
      </c>
      <c r="AW358" t="str">
        <f t="shared" si="329"/>
        <v>1+4,4839475192212i</v>
      </c>
      <c r="AX358">
        <f t="shared" si="354"/>
        <v>4.59410332438551</v>
      </c>
      <c r="AY358">
        <f t="shared" si="355"/>
        <v>1.35136939354191</v>
      </c>
      <c r="AZ358" t="str">
        <f t="shared" si="330"/>
        <v>1+39,1409668410167i</v>
      </c>
      <c r="BA358">
        <f t="shared" si="356"/>
        <v>39.1537390966632</v>
      </c>
      <c r="BB358">
        <f t="shared" si="357"/>
        <v>1.5452532043958</v>
      </c>
      <c r="BC358" s="30" t="str">
        <f t="shared" si="358"/>
        <v>-0,02011625389299+0,102450828352767i</v>
      </c>
      <c r="BD358" s="32">
        <f t="shared" si="359"/>
        <v>-19.6254019809519</v>
      </c>
      <c r="BE358" s="31">
        <f t="shared" si="360"/>
        <v>101.108724077841</v>
      </c>
      <c r="BF358" s="30" t="str">
        <f t="shared" si="361"/>
        <v>0,0430647452381926-0,0895221093469714i</v>
      </c>
      <c r="BG358" s="68">
        <f t="shared" si="362"/>
        <v>-20.0573651728413</v>
      </c>
      <c r="BH358" s="31">
        <f t="shared" si="363"/>
        <v>-64.3100491527293</v>
      </c>
      <c r="BI358" s="30" t="str">
        <f t="shared" si="316"/>
        <v>0,281429651626635-0,0225759471276582i</v>
      </c>
      <c r="BJ358" s="68">
        <f t="shared" si="364"/>
        <v>-10.98474538688</v>
      </c>
      <c r="BK358" s="31">
        <f t="shared" si="317"/>
        <v>-4.5863772712194</v>
      </c>
      <c r="BL358" s="32">
        <f t="shared" si="365"/>
        <v>-20.0573651728413</v>
      </c>
      <c r="BM358" s="31">
        <f t="shared" si="366"/>
        <v>-64.3100491527293</v>
      </c>
      <c r="BO358">
        <f t="shared" si="367"/>
        <v>0</v>
      </c>
      <c r="BP358">
        <f t="shared" si="368"/>
        <v>0</v>
      </c>
    </row>
    <row r="359" spans="14:68">
      <c r="N359" s="7">
        <v>41</v>
      </c>
      <c r="O359" s="18">
        <f t="shared" si="318"/>
        <v>25703.9578276886</v>
      </c>
      <c r="P359" s="86" t="str">
        <f t="shared" si="319"/>
        <v>15</v>
      </c>
      <c r="Q359" s="4" t="str">
        <f t="shared" si="320"/>
        <v>1+47,1049629631283i</v>
      </c>
      <c r="R359" s="4">
        <f t="shared" si="331"/>
        <v>47.1155763602409</v>
      </c>
      <c r="S359" s="4">
        <f t="shared" si="332"/>
        <v>1.54957032954095</v>
      </c>
      <c r="T359" s="4" t="str">
        <f t="shared" si="321"/>
        <v>1+0,0323005460318594i</v>
      </c>
      <c r="U359" s="4">
        <f t="shared" si="333"/>
        <v>1.00052152664196</v>
      </c>
      <c r="V359" s="4">
        <f t="shared" si="334"/>
        <v>0.0322893197332846</v>
      </c>
      <c r="W359" t="str">
        <f t="shared" si="322"/>
        <v>1-2,8262977777877i</v>
      </c>
      <c r="X359" s="4">
        <f t="shared" si="335"/>
        <v>2.99799251645625</v>
      </c>
      <c r="Y359" s="4">
        <f t="shared" si="336"/>
        <v>-1.23072266480646</v>
      </c>
      <c r="Z359" t="str">
        <f t="shared" si="323"/>
        <v>0,995301735480835+0,149966820862204i</v>
      </c>
      <c r="AA359" s="4">
        <f t="shared" si="337"/>
        <v>1.00653643352373</v>
      </c>
      <c r="AB359" s="4">
        <f t="shared" si="338"/>
        <v>0.149549765433577</v>
      </c>
      <c r="AC359" s="67" t="str">
        <f t="shared" si="339"/>
        <v>-0,92064364417537-0,22924217211846i</v>
      </c>
      <c r="AD359" s="68">
        <f t="shared" si="340"/>
        <v>-0.456915344224519</v>
      </c>
      <c r="AE359" s="31">
        <f t="shared" si="341"/>
        <v>-166.017583028347</v>
      </c>
      <c r="AF359" s="32" t="str">
        <f t="shared" si="342"/>
        <v>75,4669735059805</v>
      </c>
      <c r="AG359" s="32" t="str">
        <f t="shared" si="324"/>
        <v>1+30,2817619048682i</v>
      </c>
      <c r="AH359" s="32">
        <f t="shared" si="343"/>
        <v>30.2982689945008</v>
      </c>
      <c r="AI359" s="32">
        <f t="shared" si="344"/>
        <v>1.53778514565156</v>
      </c>
      <c r="AJ359" s="32" t="str">
        <f t="shared" si="325"/>
        <v>1+0,0323005460318594i</v>
      </c>
      <c r="AK359" s="32">
        <f t="shared" si="345"/>
        <v>1.00052152664196</v>
      </c>
      <c r="AL359" s="32">
        <f t="shared" si="346"/>
        <v>0.0322893197332846</v>
      </c>
      <c r="AM359" s="32" t="str">
        <f t="shared" si="326"/>
        <v>1-0,361131083187993i</v>
      </c>
      <c r="AN359" s="32">
        <f t="shared" si="347"/>
        <v>1.06321007296043</v>
      </c>
      <c r="AO359" s="32">
        <f t="shared" si="348"/>
        <v>-0.346556532452027</v>
      </c>
      <c r="AP359" s="30" t="str">
        <f t="shared" si="349"/>
        <v>-0,735437039766369-2,54551610129304i</v>
      </c>
      <c r="AQ359" s="32">
        <f t="shared" si="350"/>
        <v>8.4636927232626</v>
      </c>
      <c r="AR359" s="31">
        <f t="shared" si="351"/>
        <v>-106.114783571869</v>
      </c>
      <c r="AS359" t="str">
        <f t="shared" si="327"/>
        <v>-0,000338461538461538</v>
      </c>
      <c r="AT359" t="str">
        <f t="shared" si="328"/>
        <v>0,0282716989253056i</v>
      </c>
      <c r="AU359">
        <f t="shared" si="352"/>
        <v>0.0282716989253056</v>
      </c>
      <c r="AV359">
        <f t="shared" si="353"/>
        <v>1.5707963267949</v>
      </c>
      <c r="AW359" t="str">
        <f t="shared" si="329"/>
        <v>1+4,58839207417371i</v>
      </c>
      <c r="AX359">
        <f t="shared" si="354"/>
        <v>4.69609857502375</v>
      </c>
      <c r="AY359">
        <f t="shared" si="355"/>
        <v>1.35621055466476</v>
      </c>
      <c r="AZ359" t="str">
        <f t="shared" si="330"/>
        <v>1+40,0526770795056i</v>
      </c>
      <c r="BA359">
        <f t="shared" si="356"/>
        <v>40.0651586947456</v>
      </c>
      <c r="BB359">
        <f t="shared" si="357"/>
        <v>1.54583439254017</v>
      </c>
      <c r="BC359" s="30" t="str">
        <f t="shared" si="358"/>
        <v>-0,0192519274474602+0,100307135188084i</v>
      </c>
      <c r="BD359" s="32">
        <f t="shared" si="359"/>
        <v>-19.8162584063176</v>
      </c>
      <c r="BE359" s="31">
        <f t="shared" si="360"/>
        <v>100.864645605334</v>
      </c>
      <c r="BF359" s="30" t="str">
        <f t="shared" si="361"/>
        <v>0,040718790192126-0,0879337728108264i</v>
      </c>
      <c r="BG359" s="68">
        <f t="shared" si="362"/>
        <v>-20.2731737505421</v>
      </c>
      <c r="BH359" s="31">
        <f t="shared" si="363"/>
        <v>-65.1529374230129</v>
      </c>
      <c r="BI359" s="30" t="str">
        <f t="shared" si="316"/>
        <v>0,269492008227603-0,0247634912717341i</v>
      </c>
      <c r="BJ359" s="68">
        <f t="shared" si="364"/>
        <v>-11.352565683055</v>
      </c>
      <c r="BK359" s="31">
        <f t="shared" si="317"/>
        <v>-5.25013796653554</v>
      </c>
      <c r="BL359" s="32">
        <f t="shared" si="365"/>
        <v>-20.2731737505421</v>
      </c>
      <c r="BM359" s="31">
        <f t="shared" si="366"/>
        <v>-65.1529374230129</v>
      </c>
      <c r="BO359">
        <f t="shared" si="367"/>
        <v>0</v>
      </c>
      <c r="BP359">
        <f t="shared" si="368"/>
        <v>0</v>
      </c>
    </row>
    <row r="360" spans="14:68">
      <c r="N360" s="7">
        <v>42</v>
      </c>
      <c r="O360" s="18">
        <f t="shared" si="318"/>
        <v>26302.6799189538</v>
      </c>
      <c r="P360" s="86" t="str">
        <f t="shared" si="319"/>
        <v>15</v>
      </c>
      <c r="Q360" s="4" t="str">
        <f t="shared" si="320"/>
        <v>1+48,2021785018136i</v>
      </c>
      <c r="R360" s="4">
        <f t="shared" si="331"/>
        <v>48.2125503610906</v>
      </c>
      <c r="S360" s="4">
        <f t="shared" si="332"/>
        <v>1.5500533520312</v>
      </c>
      <c r="T360" s="4" t="str">
        <f t="shared" si="321"/>
        <v>1+0,0330529224012436i</v>
      </c>
      <c r="U360" s="4">
        <f t="shared" si="333"/>
        <v>1.00054609872772</v>
      </c>
      <c r="V360" s="4">
        <f t="shared" si="334"/>
        <v>0.0330408935601637</v>
      </c>
      <c r="W360" t="str">
        <f t="shared" si="322"/>
        <v>1-2,89213071010882i</v>
      </c>
      <c r="X360" s="4">
        <f t="shared" si="335"/>
        <v>3.06013399124198</v>
      </c>
      <c r="Y360" s="4">
        <f t="shared" si="336"/>
        <v>-1.23789855756435</v>
      </c>
      <c r="Z360" t="str">
        <f t="shared" si="323"/>
        <v>0,995080313095688+0,153459996862916i</v>
      </c>
      <c r="AA360" s="4">
        <f t="shared" si="337"/>
        <v>1.00684398004248</v>
      </c>
      <c r="AB360" s="4">
        <f t="shared" si="338"/>
        <v>0.153013244871252</v>
      </c>
      <c r="AC360" s="67" t="str">
        <f t="shared" si="339"/>
        <v>-0,920408435118918-0,219072128873299i</v>
      </c>
      <c r="AD360" s="68">
        <f t="shared" si="340"/>
        <v>-0.481069566765533</v>
      </c>
      <c r="AE360" s="31">
        <f t="shared" si="341"/>
        <v>-166.61178729365</v>
      </c>
      <c r="AF360" s="32" t="str">
        <f t="shared" si="342"/>
        <v>75,4669735059805</v>
      </c>
      <c r="AG360" s="32" t="str">
        <f t="shared" si="324"/>
        <v>1+30,9871147511659i</v>
      </c>
      <c r="AH360" s="32">
        <f t="shared" si="343"/>
        <v>31.003246291347</v>
      </c>
      <c r="AI360" s="32">
        <f t="shared" si="344"/>
        <v>1.53853604456621</v>
      </c>
      <c r="AJ360" s="32" t="str">
        <f t="shared" si="325"/>
        <v>1+0,0330529224012436i</v>
      </c>
      <c r="AK360" s="32">
        <f t="shared" si="345"/>
        <v>1.00054609872772</v>
      </c>
      <c r="AL360" s="32">
        <f t="shared" si="346"/>
        <v>0.0330408935601637</v>
      </c>
      <c r="AM360" s="32" t="str">
        <f t="shared" si="326"/>
        <v>1-0,369542906721031i</v>
      </c>
      <c r="AN360" s="32">
        <f t="shared" si="347"/>
        <v>1.06609659970747</v>
      </c>
      <c r="AO360" s="32">
        <f t="shared" si="348"/>
        <v>-0.353977807010369</v>
      </c>
      <c r="AP360" s="30" t="str">
        <f t="shared" si="349"/>
        <v>-0,739173311283558-2,48903251394631i</v>
      </c>
      <c r="AQ360" s="32">
        <f t="shared" si="350"/>
        <v>8.28766848652154</v>
      </c>
      <c r="AR360" s="31">
        <f t="shared" si="351"/>
        <v>-106.539952613047</v>
      </c>
      <c r="AS360" t="str">
        <f t="shared" si="327"/>
        <v>-0,000338461538461538</v>
      </c>
      <c r="AT360" t="str">
        <f t="shared" si="328"/>
        <v>0,0289302313901365i</v>
      </c>
      <c r="AU360">
        <f t="shared" si="352"/>
        <v>0.0289302313901365</v>
      </c>
      <c r="AV360">
        <f t="shared" si="353"/>
        <v>1.5707963267949</v>
      </c>
      <c r="AW360" t="str">
        <f t="shared" si="329"/>
        <v>1+4,69526945533851i</v>
      </c>
      <c r="AX360">
        <f t="shared" si="354"/>
        <v>4.80057863785552</v>
      </c>
      <c r="AY360">
        <f t="shared" si="355"/>
        <v>1.36095140928501</v>
      </c>
      <c r="AZ360" t="str">
        <f t="shared" si="330"/>
        <v>1+40,9856237775421i</v>
      </c>
      <c r="BA360">
        <f t="shared" si="356"/>
        <v>40.9978213620459</v>
      </c>
      <c r="BB360">
        <f t="shared" si="357"/>
        <v>1.54640236752581</v>
      </c>
      <c r="BC360" s="30" t="str">
        <f t="shared" si="358"/>
        <v>-0,018423046529245+0,0982004013580198i</v>
      </c>
      <c r="BD360" s="32">
        <f t="shared" si="359"/>
        <v>-20.0075078501859</v>
      </c>
      <c r="BE360" s="31">
        <f t="shared" si="360"/>
        <v>100.625557213854</v>
      </c>
      <c r="BF360" s="30" t="str">
        <f t="shared" si="361"/>
        <v>0,0384696984078192-0,0863485017184911i</v>
      </c>
      <c r="BG360" s="68">
        <f t="shared" si="362"/>
        <v>-20.4885774169514</v>
      </c>
      <c r="BH360" s="31">
        <f t="shared" si="363"/>
        <v>-65.9862300797951</v>
      </c>
      <c r="BI360" s="30" t="str">
        <f t="shared" si="316"/>
        <v>0,258041816169642-0,0267315540239454i</v>
      </c>
      <c r="BJ360" s="68">
        <f t="shared" si="364"/>
        <v>-11.7198393636643</v>
      </c>
      <c r="BK360" s="31">
        <f t="shared" si="317"/>
        <v>-5.9143953991931</v>
      </c>
      <c r="BL360" s="32">
        <f t="shared" si="365"/>
        <v>-20.4885774169514</v>
      </c>
      <c r="BM360" s="31">
        <f t="shared" si="366"/>
        <v>-65.9862300797951</v>
      </c>
      <c r="BO360">
        <f t="shared" si="367"/>
        <v>0</v>
      </c>
      <c r="BP360">
        <f t="shared" si="368"/>
        <v>0</v>
      </c>
    </row>
    <row r="361" spans="14:68">
      <c r="N361" s="7">
        <v>43</v>
      </c>
      <c r="O361" s="18">
        <f t="shared" si="318"/>
        <v>26915.3480392692</v>
      </c>
      <c r="P361" s="86" t="str">
        <f t="shared" si="319"/>
        <v>15</v>
      </c>
      <c r="Q361" s="4" t="str">
        <f t="shared" si="320"/>
        <v>1+49,3249514735719i</v>
      </c>
      <c r="R361" s="4">
        <f t="shared" si="331"/>
        <v>49.3350872895774</v>
      </c>
      <c r="S361" s="4">
        <f t="shared" si="332"/>
        <v>1.55052538894154</v>
      </c>
      <c r="T361" s="4" t="str">
        <f t="shared" si="321"/>
        <v>1+0,0338228238675922i</v>
      </c>
      <c r="U361" s="4">
        <f t="shared" si="333"/>
        <v>1.00057182821344</v>
      </c>
      <c r="V361" s="4">
        <f t="shared" si="334"/>
        <v>0.0338099351299602</v>
      </c>
      <c r="W361" t="str">
        <f t="shared" si="322"/>
        <v>1-2,95949708841432i</v>
      </c>
      <c r="X361" s="4">
        <f t="shared" si="335"/>
        <v>3.12387948172346</v>
      </c>
      <c r="Y361" s="4">
        <f t="shared" si="336"/>
        <v>-1.2449456842839</v>
      </c>
      <c r="Z361" t="str">
        <f t="shared" si="323"/>
        <v>0,994848455395022+0,157034539385249i</v>
      </c>
      <c r="AA361" s="4">
        <f t="shared" si="337"/>
        <v>1.00716597230139</v>
      </c>
      <c r="AB361" s="4">
        <f t="shared" si="338"/>
        <v>0.156555982821483</v>
      </c>
      <c r="AC361" s="67" t="str">
        <f t="shared" si="339"/>
        <v>-0,920133024433717-0,209023344193024i</v>
      </c>
      <c r="AD361" s="68">
        <f t="shared" si="340"/>
        <v>-0.504462897901954</v>
      </c>
      <c r="AE361" s="31">
        <f t="shared" si="341"/>
        <v>-167.20152473136</v>
      </c>
      <c r="AF361" s="32" t="str">
        <f t="shared" si="342"/>
        <v>75,4669735059805</v>
      </c>
      <c r="AG361" s="32" t="str">
        <f t="shared" si="324"/>
        <v>1+31,7088973758677i</v>
      </c>
      <c r="AH361" s="32">
        <f t="shared" si="343"/>
        <v>31.7246619019543</v>
      </c>
      <c r="AI361" s="32">
        <f t="shared" si="344"/>
        <v>1.53926988610199</v>
      </c>
      <c r="AJ361" s="32" t="str">
        <f t="shared" si="325"/>
        <v>1+0,0338228238675922i</v>
      </c>
      <c r="AK361" s="32">
        <f t="shared" si="345"/>
        <v>1.00057182821344</v>
      </c>
      <c r="AL361" s="32">
        <f t="shared" si="346"/>
        <v>0.0338099351299602</v>
      </c>
      <c r="AM361" s="32" t="str">
        <f t="shared" si="326"/>
        <v>1-0,378150666794692i</v>
      </c>
      <c r="AN361" s="32">
        <f t="shared" si="347"/>
        <v>1.0691108112807</v>
      </c>
      <c r="AO361" s="32">
        <f t="shared" si="348"/>
        <v>-0.361530033435937</v>
      </c>
      <c r="AP361" s="30" t="str">
        <f t="shared" si="349"/>
        <v>-0,742741764919241-2,43385779895583i</v>
      </c>
      <c r="AQ361" s="32">
        <f t="shared" si="350"/>
        <v>8.11261846753249</v>
      </c>
      <c r="AR361" s="31">
        <f t="shared" si="351"/>
        <v>-106.970646499772</v>
      </c>
      <c r="AS361" t="str">
        <f t="shared" si="327"/>
        <v>-0,000338461538461538</v>
      </c>
      <c r="AT361" t="str">
        <f t="shared" si="328"/>
        <v>0,0296041030465874i</v>
      </c>
      <c r="AU361">
        <f t="shared" si="352"/>
        <v>0.0296041030465874</v>
      </c>
      <c r="AV361">
        <f t="shared" si="353"/>
        <v>1.5707963267949</v>
      </c>
      <c r="AW361" t="str">
        <f t="shared" si="329"/>
        <v>1+4,80463633051778i</v>
      </c>
      <c r="AX361">
        <f t="shared" si="354"/>
        <v>4.90759923674818</v>
      </c>
      <c r="AY361">
        <f t="shared" si="355"/>
        <v>1.36559361824037</v>
      </c>
      <c r="AZ361" t="str">
        <f t="shared" si="330"/>
        <v>1+41,9403015958143i</v>
      </c>
      <c r="BA361">
        <f t="shared" si="356"/>
        <v>41.9522216092052</v>
      </c>
      <c r="BB361">
        <f t="shared" si="357"/>
        <v>1.54695742903392</v>
      </c>
      <c r="BC361" s="30" t="str">
        <f t="shared" si="358"/>
        <v>-0,0176283004933454+0,0961304996385474i</v>
      </c>
      <c r="BD361" s="32">
        <f t="shared" si="359"/>
        <v>-20.1991341833298</v>
      </c>
      <c r="BE361" s="31">
        <f t="shared" si="360"/>
        <v>100.39138091488</v>
      </c>
      <c r="BF361" s="30" t="str">
        <f t="shared" si="361"/>
        <v>0,0363138999619638-0,0847681210511824i</v>
      </c>
      <c r="BG361" s="68">
        <f t="shared" si="362"/>
        <v>-20.7035970812318</v>
      </c>
      <c r="BH361" s="31">
        <f t="shared" si="363"/>
        <v>-66.8101438164807</v>
      </c>
      <c r="BI361" s="30" t="str">
        <f t="shared" si="316"/>
        <v>0,247061241283753-0,0284953603260376i</v>
      </c>
      <c r="BJ361" s="68">
        <f t="shared" si="364"/>
        <v>-12.0865157157974</v>
      </c>
      <c r="BK361" s="31">
        <f t="shared" si="317"/>
        <v>-6.57926558489242</v>
      </c>
      <c r="BL361" s="32">
        <f t="shared" si="365"/>
        <v>-20.7035970812318</v>
      </c>
      <c r="BM361" s="31">
        <f t="shared" si="366"/>
        <v>-66.8101438164807</v>
      </c>
      <c r="BO361">
        <f t="shared" si="367"/>
        <v>0</v>
      </c>
      <c r="BP361">
        <f t="shared" si="368"/>
        <v>0</v>
      </c>
    </row>
    <row r="362" spans="14:68">
      <c r="N362" s="7">
        <v>44</v>
      </c>
      <c r="O362" s="18">
        <f t="shared" si="318"/>
        <v>27542.2870333817</v>
      </c>
      <c r="P362" s="86" t="str">
        <f t="shared" si="319"/>
        <v>15</v>
      </c>
      <c r="Q362" s="4" t="str">
        <f t="shared" si="320"/>
        <v>1+50,4738771874945i</v>
      </c>
      <c r="R362" s="4">
        <f t="shared" si="331"/>
        <v>50.483782329955</v>
      </c>
      <c r="S362" s="4">
        <f t="shared" si="332"/>
        <v>1.55098668971029</v>
      </c>
      <c r="T362" s="4" t="str">
        <f t="shared" si="321"/>
        <v>1+0,0346106586428534i</v>
      </c>
      <c r="U362" s="4">
        <f t="shared" si="333"/>
        <v>1.00059876958334</v>
      </c>
      <c r="V362" s="4">
        <f t="shared" si="334"/>
        <v>0.0345968485579712</v>
      </c>
      <c r="W362" t="str">
        <f t="shared" si="322"/>
        <v>1-3,02843263124968i</v>
      </c>
      <c r="X362" s="4">
        <f t="shared" si="335"/>
        <v>3.18926389657831</v>
      </c>
      <c r="Y362" s="4">
        <f t="shared" si="336"/>
        <v>-1.25186498073719</v>
      </c>
      <c r="Z362" t="str">
        <f t="shared" si="323"/>
        <v>0,99460567057757+0,160692343698962i</v>
      </c>
      <c r="AA362" s="4">
        <f t="shared" si="337"/>
        <v>1.00750308648089</v>
      </c>
      <c r="AB362" s="4">
        <f t="shared" si="338"/>
        <v>0.160179725707857</v>
      </c>
      <c r="AC362" s="67" t="str">
        <f t="shared" si="339"/>
        <v>-0,919816914917407-0,199090928409963i</v>
      </c>
      <c r="AD362" s="68">
        <f t="shared" si="340"/>
        <v>-0.527131813772603</v>
      </c>
      <c r="AE362" s="31">
        <f t="shared" si="341"/>
        <v>-167.786940157632</v>
      </c>
      <c r="AF362" s="32" t="str">
        <f t="shared" si="342"/>
        <v>75,4669735059805</v>
      </c>
      <c r="AG362" s="32" t="str">
        <f t="shared" si="324"/>
        <v>1+32,4474924776751i</v>
      </c>
      <c r="AH362" s="32">
        <f t="shared" si="343"/>
        <v>32.4628983316152</v>
      </c>
      <c r="AI362" s="32">
        <f t="shared" si="344"/>
        <v>1.53998705618808</v>
      </c>
      <c r="AJ362" s="32" t="str">
        <f t="shared" si="325"/>
        <v>1+0,0346106586428534i</v>
      </c>
      <c r="AK362" s="32">
        <f t="shared" si="345"/>
        <v>1.00059876958334</v>
      </c>
      <c r="AL362" s="32">
        <f t="shared" si="346"/>
        <v>0.0345968485579712</v>
      </c>
      <c r="AM362" s="32" t="str">
        <f t="shared" si="326"/>
        <v>1-0,386958927357304i</v>
      </c>
      <c r="AN362" s="32">
        <f t="shared" si="347"/>
        <v>1.07225799668807</v>
      </c>
      <c r="AO362" s="32">
        <f t="shared" si="348"/>
        <v>-0.369213769024966</v>
      </c>
      <c r="AP362" s="30" t="str">
        <f t="shared" si="349"/>
        <v>-0,746149923670549-2,37996342443351i</v>
      </c>
      <c r="AQ362" s="32">
        <f t="shared" si="350"/>
        <v>7.93857800550752</v>
      </c>
      <c r="AR362" s="31">
        <f t="shared" si="351"/>
        <v>-107.406896120776</v>
      </c>
      <c r="AS362" t="str">
        <f t="shared" si="327"/>
        <v>-0,000338461538461538</v>
      </c>
      <c r="AT362" t="str">
        <f t="shared" si="328"/>
        <v>0,0302936711903303i</v>
      </c>
      <c r="AU362">
        <f t="shared" si="352"/>
        <v>0.0302936711903303</v>
      </c>
      <c r="AV362">
        <f t="shared" si="353"/>
        <v>1.5707963267949</v>
      </c>
      <c r="AW362" t="str">
        <f t="shared" si="329"/>
        <v>1+4,91655068747637i</v>
      </c>
      <c r="AX362">
        <f t="shared" si="354"/>
        <v>5.01721742228941</v>
      </c>
      <c r="AY362">
        <f t="shared" si="355"/>
        <v>1.37013884219729</v>
      </c>
      <c r="AZ362" t="str">
        <f t="shared" si="330"/>
        <v>1+42,9172167171382i</v>
      </c>
      <c r="BA362">
        <f t="shared" si="356"/>
        <v>42.9288654723812</v>
      </c>
      <c r="BB362">
        <f t="shared" si="357"/>
        <v>1.54749986999659</v>
      </c>
      <c r="BC362" s="30" t="str">
        <f t="shared" si="358"/>
        <v>-0,0168664150017988+0,0940972657322898i</v>
      </c>
      <c r="BD362" s="32">
        <f t="shared" si="359"/>
        <v>-20.3911218737993</v>
      </c>
      <c r="BE362" s="31">
        <f t="shared" si="360"/>
        <v>100.162038343002</v>
      </c>
      <c r="BF362" s="30" t="str">
        <f t="shared" si="361"/>
        <v>0,0342479258081518-0,0831943064463824i</v>
      </c>
      <c r="BG362" s="68">
        <f t="shared" si="362"/>
        <v>-20.918253687572</v>
      </c>
      <c r="BH362" s="31">
        <f t="shared" si="363"/>
        <v>-67.6249018146296</v>
      </c>
      <c r="BI362" s="30" t="str">
        <f t="shared" si="316"/>
        <v>0,236532925048238-0,0300692168381576i</v>
      </c>
      <c r="BJ362" s="68">
        <f t="shared" si="364"/>
        <v>-12.4525438682918</v>
      </c>
      <c r="BK362" s="31">
        <f t="shared" si="317"/>
        <v>-7.24485777777404</v>
      </c>
      <c r="BL362" s="32">
        <f t="shared" si="365"/>
        <v>-20.918253687572</v>
      </c>
      <c r="BM362" s="31">
        <f t="shared" si="366"/>
        <v>-67.6249018146296</v>
      </c>
      <c r="BO362">
        <f t="shared" si="367"/>
        <v>0</v>
      </c>
      <c r="BP362">
        <f t="shared" si="368"/>
        <v>0</v>
      </c>
    </row>
    <row r="363" spans="14:68">
      <c r="N363" s="7">
        <v>45</v>
      </c>
      <c r="O363" s="18">
        <f t="shared" si="318"/>
        <v>28183.8293126446</v>
      </c>
      <c r="P363" s="86" t="str">
        <f t="shared" si="319"/>
        <v>15</v>
      </c>
      <c r="Q363" s="4" t="str">
        <f t="shared" si="320"/>
        <v>1+51,6495648192026i</v>
      </c>
      <c r="R363" s="4">
        <f t="shared" si="331"/>
        <v>51.6592445358332</v>
      </c>
      <c r="S363" s="4">
        <f t="shared" si="332"/>
        <v>1.55143749813945</v>
      </c>
      <c r="T363" s="4" t="str">
        <f t="shared" si="321"/>
        <v>1+0,0354168444474532i</v>
      </c>
      <c r="U363" s="4">
        <f t="shared" si="333"/>
        <v>1.00062697988342</v>
      </c>
      <c r="V363" s="4">
        <f t="shared" si="334"/>
        <v>0.0354020471756244</v>
      </c>
      <c r="W363" t="str">
        <f t="shared" si="322"/>
        <v>1-3,09897388915216i</v>
      </c>
      <c r="X363" s="4">
        <f t="shared" si="335"/>
        <v>3.25632295168137</v>
      </c>
      <c r="Y363" s="4">
        <f t="shared" si="336"/>
        <v>-1.25865746455647</v>
      </c>
      <c r="Z363" t="str">
        <f t="shared" si="323"/>
        <v>0,994351443664183+0,164435349220318i</v>
      </c>
      <c r="AA363" s="4">
        <f t="shared" si="337"/>
        <v>1.00785603018995</v>
      </c>
      <c r="AB363" s="4">
        <f t="shared" si="338"/>
        <v>0.163886253685722</v>
      </c>
      <c r="AC363" s="67" t="str">
        <f t="shared" si="339"/>
        <v>-0,919459531519828-0,189270078147543i</v>
      </c>
      <c r="AD363" s="68">
        <f t="shared" si="340"/>
        <v>-0.549112229234554</v>
      </c>
      <c r="AE363" s="31">
        <f t="shared" si="341"/>
        <v>-168.368184160565</v>
      </c>
      <c r="AF363" s="32" t="str">
        <f t="shared" si="342"/>
        <v>75,4669735059805</v>
      </c>
      <c r="AG363" s="32" t="str">
        <f t="shared" si="324"/>
        <v>1+33,2032916694874i</v>
      </c>
      <c r="AH363" s="32">
        <f t="shared" si="343"/>
        <v>33.218347004164</v>
      </c>
      <c r="AI363" s="32">
        <f t="shared" si="344"/>
        <v>1.54068793212493</v>
      </c>
      <c r="AJ363" s="32" t="str">
        <f t="shared" si="325"/>
        <v>1+0,0354168444474532i</v>
      </c>
      <c r="AK363" s="32">
        <f t="shared" si="345"/>
        <v>1.00062697988342</v>
      </c>
      <c r="AL363" s="32">
        <f t="shared" si="346"/>
        <v>0.0354020471756244</v>
      </c>
      <c r="AM363" s="32" t="str">
        <f t="shared" si="326"/>
        <v>1-0,395972358665207i</v>
      </c>
      <c r="AN363" s="32">
        <f t="shared" si="347"/>
        <v>1.07554363408784</v>
      </c>
      <c r="AO363" s="32">
        <f t="shared" si="348"/>
        <v>-0.377029457613532</v>
      </c>
      <c r="AP363" s="30" t="str">
        <f t="shared" si="349"/>
        <v>-0,749404974582554-2,32732148927708i</v>
      </c>
      <c r="AQ363" s="32">
        <f t="shared" si="350"/>
        <v>7.76558317578694</v>
      </c>
      <c r="AR363" s="31">
        <f t="shared" si="351"/>
        <v>-107.848724841572</v>
      </c>
      <c r="AS363" t="str">
        <f t="shared" si="327"/>
        <v>-0,000338461538461538</v>
      </c>
      <c r="AT363" t="str">
        <f t="shared" si="328"/>
        <v>0,0309993014395223i</v>
      </c>
      <c r="AU363">
        <f t="shared" si="352"/>
        <v>0.0309993014395223</v>
      </c>
      <c r="AV363">
        <f t="shared" si="353"/>
        <v>1.5707963267949</v>
      </c>
      <c r="AW363" t="str">
        <f t="shared" si="329"/>
        <v>1+5,03107186468769i</v>
      </c>
      <c r="AX363">
        <f t="shared" si="354"/>
        <v>5.12949160323439</v>
      </c>
      <c r="AY363">
        <f t="shared" si="355"/>
        <v>1.37458873953933</v>
      </c>
      <c r="AZ363" t="str">
        <f t="shared" si="330"/>
        <v>1+43,9168871148419i</v>
      </c>
      <c r="BA363">
        <f t="shared" si="356"/>
        <v>43.9282707815567</v>
      </c>
      <c r="BB363">
        <f t="shared" si="357"/>
        <v>1.54802997674561</v>
      </c>
      <c r="BC363" s="30" t="str">
        <f t="shared" si="358"/>
        <v>-0,016136152101768+0,0921005010240563i</v>
      </c>
      <c r="BD363" s="32">
        <f t="shared" si="359"/>
        <v>-20.5834559703137</v>
      </c>
      <c r="BE363" s="31">
        <f t="shared" si="360"/>
        <v>99.937450885447</v>
      </c>
      <c r="BF363" s="30" t="str">
        <f t="shared" si="361"/>
        <v>0,0322684078782753-0,081628592755018i</v>
      </c>
      <c r="BG363" s="68">
        <f t="shared" si="362"/>
        <v>-21.1325681995483</v>
      </c>
      <c r="BH363" s="31">
        <f t="shared" si="363"/>
        <v>-68.4307332751175</v>
      </c>
      <c r="BI363" s="30" t="str">
        <f t="shared" si="316"/>
        <v>0,226439987862158-0,0314665600882852i</v>
      </c>
      <c r="BJ363" s="68">
        <f t="shared" si="364"/>
        <v>-12.8178727945268</v>
      </c>
      <c r="BK363" s="31">
        <f t="shared" si="317"/>
        <v>-7.91127395612525</v>
      </c>
      <c r="BL363" s="32">
        <f t="shared" si="365"/>
        <v>-21.1325681995483</v>
      </c>
      <c r="BM363" s="31">
        <f t="shared" si="366"/>
        <v>-68.4307332751175</v>
      </c>
      <c r="BO363">
        <f t="shared" si="367"/>
        <v>0</v>
      </c>
      <c r="BP363">
        <f t="shared" si="368"/>
        <v>0</v>
      </c>
    </row>
    <row r="364" spans="14:68">
      <c r="N364" s="7">
        <v>46</v>
      </c>
      <c r="O364" s="18">
        <f t="shared" si="318"/>
        <v>28840.3150312661</v>
      </c>
      <c r="P364" s="86" t="str">
        <f t="shared" si="319"/>
        <v>15</v>
      </c>
      <c r="Q364" s="4" t="str">
        <f t="shared" si="320"/>
        <v>1+52,8526377338403i</v>
      </c>
      <c r="R364" s="4">
        <f t="shared" si="331"/>
        <v>52.8620971531073</v>
      </c>
      <c r="S364" s="4">
        <f t="shared" si="332"/>
        <v>1.55187805252027</v>
      </c>
      <c r="T364" s="4" t="str">
        <f t="shared" si="321"/>
        <v>1+0,0362418087317762i</v>
      </c>
      <c r="U364" s="4">
        <f t="shared" si="333"/>
        <v>1.00065651884158</v>
      </c>
      <c r="V364" s="4">
        <f t="shared" si="334"/>
        <v>0.0362259537311281</v>
      </c>
      <c r="W364" t="str">
        <f t="shared" si="322"/>
        <v>1-3,17115826403042i</v>
      </c>
      <c r="X364" s="4">
        <f t="shared" si="335"/>
        <v>3.32509319200657</v>
      </c>
      <c r="Y364" s="4">
        <f t="shared" si="336"/>
        <v>-1.2653242292209</v>
      </c>
      <c r="Z364" t="str">
        <f t="shared" si="323"/>
        <v>0,994085235405492+0,168265540540389i</v>
      </c>
      <c r="AA364" s="4">
        <f t="shared" si="337"/>
        <v>1.008225543906</v>
      </c>
      <c r="AB364" s="4">
        <f t="shared" si="338"/>
        <v>0.167677380953211</v>
      </c>
      <c r="AC364" s="67" t="str">
        <f t="shared" si="339"/>
        <v>-0,919060220883286-0,179556075760402i</v>
      </c>
      <c r="AD364" s="68">
        <f t="shared" si="340"/>
        <v>-0.570439502047459</v>
      </c>
      <c r="AE364" s="31">
        <f t="shared" si="341"/>
        <v>-168.945412769191</v>
      </c>
      <c r="AF364" s="32" t="str">
        <f t="shared" si="342"/>
        <v>75,4669735059805</v>
      </c>
      <c r="AG364" s="32" t="str">
        <f t="shared" si="324"/>
        <v>1+33,9766956860402i</v>
      </c>
      <c r="AH364" s="32">
        <f t="shared" si="343"/>
        <v>33.9914084695204</v>
      </c>
      <c r="AI364" s="32">
        <f t="shared" si="344"/>
        <v>1.54137288277036</v>
      </c>
      <c r="AJ364" s="32" t="str">
        <f t="shared" si="325"/>
        <v>1+0,0362418087317762i</v>
      </c>
      <c r="AK364" s="32">
        <f t="shared" si="345"/>
        <v>1.00065651884158</v>
      </c>
      <c r="AL364" s="32">
        <f t="shared" si="346"/>
        <v>0.0362259537311281</v>
      </c>
      <c r="AM364" s="32" t="str">
        <f t="shared" si="326"/>
        <v>1-0,405195739758985i</v>
      </c>
      <c r="AN364" s="32">
        <f t="shared" si="347"/>
        <v>1.07897339518583</v>
      </c>
      <c r="AO364" s="32">
        <f t="shared" si="348"/>
        <v>-0.384977422786203</v>
      </c>
      <c r="AP364" s="30" t="str">
        <f t="shared" si="349"/>
        <v>-0,752513783637135-2,27590471156806i</v>
      </c>
      <c r="AQ364" s="32">
        <f t="shared" si="350"/>
        <v>7.59367076661056</v>
      </c>
      <c r="AR364" s="31">
        <f t="shared" si="351"/>
        <v>-108.296148114498</v>
      </c>
      <c r="AS364" t="str">
        <f t="shared" si="327"/>
        <v>-0,000338461538461538</v>
      </c>
      <c r="AT364" t="str">
        <f t="shared" si="328"/>
        <v>0,0317213679286618i</v>
      </c>
      <c r="AU364">
        <f t="shared" si="352"/>
        <v>0.0317213679286618</v>
      </c>
      <c r="AV364">
        <f t="shared" si="353"/>
        <v>1.5707963267949</v>
      </c>
      <c r="AW364" t="str">
        <f t="shared" si="329"/>
        <v>1+5,14826058279576i</v>
      </c>
      <c r="AX364">
        <f t="shared" si="354"/>
        <v>5.24448157860894</v>
      </c>
      <c r="AY364">
        <f t="shared" si="355"/>
        <v>1.3789449644056</v>
      </c>
      <c r="AZ364" t="str">
        <f t="shared" si="330"/>
        <v>1+44,9398428274025i</v>
      </c>
      <c r="BA364">
        <f t="shared" si="356"/>
        <v>44.9509674351024</v>
      </c>
      <c r="BB364">
        <f t="shared" si="357"/>
        <v>1.54854802915815</v>
      </c>
      <c r="BC364" s="30" t="str">
        <f t="shared" si="358"/>
        <v>-0,0154363101826193+0,0901399752172039i</v>
      </c>
      <c r="BD364" s="32">
        <f t="shared" si="359"/>
        <v>-20.7761220856232</v>
      </c>
      <c r="BE364" s="31">
        <f t="shared" si="360"/>
        <v>99.7175398028051</v>
      </c>
      <c r="BF364" s="30" t="str">
        <f t="shared" si="361"/>
        <v>0,030372078865202-0,0800723822529259i</v>
      </c>
      <c r="BG364" s="68">
        <f t="shared" si="362"/>
        <v>-21.3465615876707</v>
      </c>
      <c r="BH364" s="31">
        <f t="shared" si="363"/>
        <v>-69.227872966386</v>
      </c>
      <c r="BI364" s="30" t="str">
        <f t="shared" si="316"/>
        <v>0,216766030478382-0,0327000027338064i</v>
      </c>
      <c r="BJ364" s="68">
        <f t="shared" si="364"/>
        <v>-13.1824513190126</v>
      </c>
      <c r="BK364" s="31">
        <f t="shared" si="317"/>
        <v>-8.57860831169266</v>
      </c>
      <c r="BL364" s="32">
        <f t="shared" si="365"/>
        <v>-21.3465615876707</v>
      </c>
      <c r="BM364" s="31">
        <f t="shared" si="366"/>
        <v>-69.227872966386</v>
      </c>
      <c r="BO364">
        <f t="shared" si="367"/>
        <v>0</v>
      </c>
      <c r="BP364">
        <f t="shared" si="368"/>
        <v>0</v>
      </c>
    </row>
    <row r="365" spans="14:68">
      <c r="N365" s="7">
        <v>47</v>
      </c>
      <c r="O365" s="18">
        <f t="shared" si="318"/>
        <v>29512.0922666639</v>
      </c>
      <c r="P365" s="86" t="str">
        <f t="shared" si="319"/>
        <v>15</v>
      </c>
      <c r="Q365" s="4" t="str">
        <f t="shared" si="320"/>
        <v>1+54,0837338165923i</v>
      </c>
      <c r="R365" s="4">
        <f t="shared" si="331"/>
        <v>54.0929779504143</v>
      </c>
      <c r="S365" s="4">
        <f t="shared" si="332"/>
        <v>1.55230858575607</v>
      </c>
      <c r="T365" s="4" t="str">
        <f t="shared" si="321"/>
        <v>1+0,0370859889028062i</v>
      </c>
      <c r="U365" s="4">
        <f t="shared" si="333"/>
        <v>1.00068744899339</v>
      </c>
      <c r="V365" s="4">
        <f t="shared" si="334"/>
        <v>0.0370690005938017</v>
      </c>
      <c r="W365" t="str">
        <f t="shared" si="322"/>
        <v>1-3,24502402899554i</v>
      </c>
      <c r="X365" s="4">
        <f t="shared" si="335"/>
        <v>3.39561201387297</v>
      </c>
      <c r="Y365" s="4">
        <f t="shared" si="336"/>
        <v>-1.27186643822778</v>
      </c>
      <c r="Z365" t="str">
        <f t="shared" si="323"/>
        <v>0,99380648113809+0,172184948477314i</v>
      </c>
      <c r="AA365" s="4">
        <f t="shared" si="337"/>
        <v>1.00861240247888</v>
      </c>
      <c r="AB365" s="4">
        <f t="shared" si="338"/>
        <v>0.171554956038178</v>
      </c>
      <c r="AC365" s="67" t="str">
        <f t="shared" si="339"/>
        <v>-0,918618250787832-0,169944288920795i</v>
      </c>
      <c r="AD365" s="68">
        <f t="shared" si="340"/>
        <v>-0.591148440078718</v>
      </c>
      <c r="AE365" s="31">
        <f t="shared" si="341"/>
        <v>-169.51878713128</v>
      </c>
      <c r="AF365" s="32" t="str">
        <f t="shared" si="342"/>
        <v>75,4669735059805</v>
      </c>
      <c r="AG365" s="32" t="str">
        <f t="shared" si="324"/>
        <v>1+34,7681145963808i</v>
      </c>
      <c r="AH365" s="32">
        <f t="shared" si="343"/>
        <v>34.7824926160715</v>
      </c>
      <c r="AI365" s="32">
        <f t="shared" si="344"/>
        <v>1.542042268722</v>
      </c>
      <c r="AJ365" s="32" t="str">
        <f t="shared" si="325"/>
        <v>1+0,0370859889028062i</v>
      </c>
      <c r="AK365" s="32">
        <f t="shared" si="345"/>
        <v>1.00068744899339</v>
      </c>
      <c r="AL365" s="32">
        <f t="shared" si="346"/>
        <v>0.0370690005938017</v>
      </c>
      <c r="AM365" s="32" t="str">
        <f t="shared" si="326"/>
        <v>1-0,414633960997387i</v>
      </c>
      <c r="AN365" s="32">
        <f t="shared" si="347"/>
        <v>1.08255314955543</v>
      </c>
      <c r="AO365" s="32">
        <f t="shared" si="348"/>
        <v>-0.393057861027916</v>
      </c>
      <c r="AP365" s="30" t="str">
        <f t="shared" si="349"/>
        <v>-0,75548290999207-2,22568641708686i</v>
      </c>
      <c r="AQ365" s="32">
        <f t="shared" si="350"/>
        <v>7.42287825187273</v>
      </c>
      <c r="AR365" s="31">
        <f t="shared" si="351"/>
        <v>-108.749173085096</v>
      </c>
      <c r="AS365" t="str">
        <f t="shared" si="327"/>
        <v>-0,000338461538461538</v>
      </c>
      <c r="AT365" t="str">
        <f t="shared" si="328"/>
        <v>0,0324602535069591i</v>
      </c>
      <c r="AU365">
        <f t="shared" si="352"/>
        <v>0.0324602535069591</v>
      </c>
      <c r="AV365">
        <f t="shared" si="353"/>
        <v>1.5707963267949</v>
      </c>
      <c r="AW365" t="str">
        <f t="shared" si="329"/>
        <v>1+5,26817897681015i</v>
      </c>
      <c r="AX365">
        <f t="shared" si="354"/>
        <v>5.36224857048836</v>
      </c>
      <c r="AY365">
        <f t="shared" si="355"/>
        <v>1.38320916487306</v>
      </c>
      <c r="AZ365" t="str">
        <f t="shared" si="330"/>
        <v>1+45,9866262394797i</v>
      </c>
      <c r="BA365">
        <f t="shared" si="356"/>
        <v>45.9974976807391</v>
      </c>
      <c r="BB365">
        <f t="shared" si="357"/>
        <v>1.54905430079958</v>
      </c>
      <c r="BC365" s="30" t="str">
        <f t="shared" si="358"/>
        <v>-0,0147657238240325+0,0882154288510713i</v>
      </c>
      <c r="BD365" s="32">
        <f t="shared" si="359"/>
        <v>-20.9691063798942</v>
      </c>
      <c r="BE365" s="31">
        <f t="shared" si="360"/>
        <v>99.5022263413626</v>
      </c>
      <c r="BF365" s="30" t="str">
        <f t="shared" si="361"/>
        <v>0,0285557717187872-0,0785269525079935i</v>
      </c>
      <c r="BG365" s="68">
        <f t="shared" si="362"/>
        <v>-21.560254819973</v>
      </c>
      <c r="BH365" s="31">
        <f t="shared" si="363"/>
        <v>-70.016560789917</v>
      </c>
      <c r="BI365" s="30" t="str">
        <f t="shared" si="316"/>
        <v>0,207495133774041-0,0337813779410008i</v>
      </c>
      <c r="BJ365" s="68">
        <f t="shared" si="364"/>
        <v>-13.5462281280215</v>
      </c>
      <c r="BK365" s="31">
        <f t="shared" si="317"/>
        <v>-9.24694674373301</v>
      </c>
      <c r="BL365" s="32">
        <f t="shared" si="365"/>
        <v>-21.560254819973</v>
      </c>
      <c r="BM365" s="31">
        <f t="shared" si="366"/>
        <v>-70.016560789917</v>
      </c>
      <c r="BO365">
        <f t="shared" si="367"/>
        <v>0</v>
      </c>
      <c r="BP365">
        <f t="shared" si="368"/>
        <v>0</v>
      </c>
    </row>
    <row r="366" spans="14:68">
      <c r="N366" s="7">
        <v>48</v>
      </c>
      <c r="O366" s="18">
        <f t="shared" si="318"/>
        <v>30199.5172040202</v>
      </c>
      <c r="P366" s="86" t="str">
        <f t="shared" si="319"/>
        <v>15</v>
      </c>
      <c r="Q366" s="4" t="str">
        <f t="shared" si="320"/>
        <v>1+55,3435058108966i</v>
      </c>
      <c r="R366" s="4">
        <f t="shared" si="331"/>
        <v>55.3525395572845</v>
      </c>
      <c r="S366" s="4">
        <f t="shared" si="332"/>
        <v>1.55272932548246</v>
      </c>
      <c r="T366" s="4" t="str">
        <f t="shared" si="321"/>
        <v>1+0,0379498325560434i</v>
      </c>
      <c r="U366" s="4">
        <f t="shared" si="333"/>
        <v>1.00071983581372</v>
      </c>
      <c r="V366" s="4">
        <f t="shared" si="334"/>
        <v>0.0379316299620975</v>
      </c>
      <c r="W366" t="str">
        <f t="shared" si="322"/>
        <v>1-3,3206103486538i</v>
      </c>
      <c r="X366" s="4">
        <f t="shared" si="335"/>
        <v>3.46791768754489</v>
      </c>
      <c r="Y366" s="4">
        <f t="shared" si="336"/>
        <v>-1.27828531945723</v>
      </c>
      <c r="Z366" t="str">
        <f t="shared" si="323"/>
        <v>0,993514589586802+0,176195651153058i</v>
      </c>
      <c r="AA366" s="4">
        <f t="shared" si="337"/>
        <v>1.00901741670156</v>
      </c>
      <c r="AB366" s="4">
        <f t="shared" si="338"/>
        <v>0.175520862058566</v>
      </c>
      <c r="AC366" s="67" t="str">
        <f t="shared" si="339"/>
        <v>-0,918132809506498-0,160430170358044i</v>
      </c>
      <c r="AD366" s="68">
        <f t="shared" si="340"/>
        <v>-0.611273311336372</v>
      </c>
      <c r="AE366" s="31">
        <f t="shared" si="341"/>
        <v>-170.088473200345</v>
      </c>
      <c r="AF366" s="32" t="str">
        <f t="shared" si="342"/>
        <v>75,4669735059805</v>
      </c>
      <c r="AG366" s="32" t="str">
        <f t="shared" si="324"/>
        <v>1+35,5779680212907i</v>
      </c>
      <c r="AH366" s="32">
        <f t="shared" si="343"/>
        <v>35.5920188880033</v>
      </c>
      <c r="AI366" s="32">
        <f t="shared" si="344"/>
        <v>1.54269644249628</v>
      </c>
      <c r="AJ366" s="32" t="str">
        <f t="shared" si="325"/>
        <v>1+0,0379498325560434i</v>
      </c>
      <c r="AK366" s="32">
        <f t="shared" si="345"/>
        <v>1.00071983581372</v>
      </c>
      <c r="AL366" s="32">
        <f t="shared" si="346"/>
        <v>0.0379316299620975</v>
      </c>
      <c r="AM366" s="32" t="str">
        <f t="shared" si="326"/>
        <v>1-0,424292026650238i</v>
      </c>
      <c r="AN366" s="32">
        <f t="shared" si="347"/>
        <v>1.08628896886554</v>
      </c>
      <c r="AO366" s="32">
        <f t="shared" si="348"/>
        <v>-0.40127083484825</v>
      </c>
      <c r="AP366" s="30" t="str">
        <f t="shared" si="349"/>
        <v>-0,758318619597696-2,17664052795287i</v>
      </c>
      <c r="AQ366" s="32">
        <f t="shared" si="350"/>
        <v>7.25324375968275</v>
      </c>
      <c r="AR366" s="31">
        <f t="shared" si="351"/>
        <v>-109.207798196499</v>
      </c>
      <c r="AS366" t="str">
        <f t="shared" si="327"/>
        <v>-0,000338461538461538</v>
      </c>
      <c r="AT366" t="str">
        <f t="shared" si="328"/>
        <v>0,0332163499413281i</v>
      </c>
      <c r="AU366">
        <f t="shared" si="352"/>
        <v>0.0332163499413281</v>
      </c>
      <c r="AV366">
        <f t="shared" si="353"/>
        <v>1.5707963267949</v>
      </c>
      <c r="AW366" t="str">
        <f t="shared" si="329"/>
        <v>1+5,39089062905062i</v>
      </c>
      <c r="AX366">
        <f t="shared" si="354"/>
        <v>5.48285525747177</v>
      </c>
      <c r="AY366">
        <f t="shared" si="355"/>
        <v>1.38738298127582</v>
      </c>
      <c r="AZ366" t="str">
        <f t="shared" si="330"/>
        <v>1+47,0577923694938i</v>
      </c>
      <c r="BA366">
        <f t="shared" si="356"/>
        <v>47.0684164030445</v>
      </c>
      <c r="BB366">
        <f t="shared" si="357"/>
        <v>1.5495490590631</v>
      </c>
      <c r="BC366" s="30" t="str">
        <f t="shared" si="358"/>
        <v>-0,0141232635464603+0,0863265757003556i</v>
      </c>
      <c r="BD366" s="32">
        <f t="shared" si="359"/>
        <v>-21.1623955441691</v>
      </c>
      <c r="BE366" s="31">
        <f t="shared" si="360"/>
        <v>99.2914318374012</v>
      </c>
      <c r="BF366" s="30" t="str">
        <f t="shared" si="361"/>
        <v>0,0268164188853469-0,0769934639060727i</v>
      </c>
      <c r="BG366" s="68">
        <f t="shared" si="362"/>
        <v>-21.7736688555054</v>
      </c>
      <c r="BH366" s="31">
        <f t="shared" si="363"/>
        <v>-70.7970413629441</v>
      </c>
      <c r="BI366" s="30" t="str">
        <f t="shared" si="316"/>
        <v>0,198611857025552-0,0347217818975048i</v>
      </c>
      <c r="BJ366" s="68">
        <f t="shared" si="364"/>
        <v>-13.9091517844863</v>
      </c>
      <c r="BK366" s="31">
        <f t="shared" si="317"/>
        <v>-9.91636635909787</v>
      </c>
      <c r="BL366" s="32">
        <f t="shared" si="365"/>
        <v>-21.7736688555054</v>
      </c>
      <c r="BM366" s="31">
        <f t="shared" si="366"/>
        <v>-70.7970413629441</v>
      </c>
      <c r="BO366">
        <f t="shared" si="367"/>
        <v>0</v>
      </c>
      <c r="BP366">
        <f t="shared" si="368"/>
        <v>0</v>
      </c>
    </row>
    <row r="367" spans="14:68">
      <c r="N367" s="7">
        <v>49</v>
      </c>
      <c r="O367" s="18">
        <f t="shared" si="318"/>
        <v>30902.954325136</v>
      </c>
      <c r="P367" s="86" t="str">
        <f t="shared" si="319"/>
        <v>15</v>
      </c>
      <c r="Q367" s="4" t="str">
        <f t="shared" si="320"/>
        <v>1+56,6326216645396i</v>
      </c>
      <c r="R367" s="4">
        <f t="shared" si="331"/>
        <v>56.6414498101777</v>
      </c>
      <c r="S367" s="4">
        <f t="shared" si="332"/>
        <v>1.55314049418506</v>
      </c>
      <c r="T367" s="4" t="str">
        <f t="shared" si="321"/>
        <v>1+0,0388337977128272i</v>
      </c>
      <c r="U367" s="4">
        <f t="shared" si="333"/>
        <v>1.00075374785449</v>
      </c>
      <c r="V367" s="4">
        <f t="shared" si="334"/>
        <v>0.0388142940753306</v>
      </c>
      <c r="W367" t="str">
        <f t="shared" si="322"/>
        <v>1-3,39795729987238i</v>
      </c>
      <c r="X367" s="4">
        <f t="shared" si="335"/>
        <v>3.54204938019729</v>
      </c>
      <c r="Y367" s="4">
        <f t="shared" si="336"/>
        <v>-1.28458215973789</v>
      </c>
      <c r="Z367" t="str">
        <f t="shared" si="323"/>
        <v>0,993208941610514+0,180299775095269i</v>
      </c>
      <c r="AA367" s="4">
        <f t="shared" si="337"/>
        <v>1.00944143495028</v>
      </c>
      <c r="AB367" s="4">
        <f t="shared" si="338"/>
        <v>0.179577016953539</v>
      </c>
      <c r="AC367" s="67" t="str">
        <f t="shared" si="339"/>
        <v>-0,917603005075586-0,151009257757962i</v>
      </c>
      <c r="AD367" s="68">
        <f t="shared" si="340"/>
        <v>-0.63084785664264</v>
      </c>
      <c r="AE367" s="31">
        <f t="shared" si="341"/>
        <v>-170.654641432139</v>
      </c>
      <c r="AF367" s="32" t="str">
        <f t="shared" si="342"/>
        <v>75,4669735059805</v>
      </c>
      <c r="AG367" s="32" t="str">
        <f t="shared" si="324"/>
        <v>1+36,4066853557755i</v>
      </c>
      <c r="AH367" s="32">
        <f t="shared" si="343"/>
        <v>36.4204165077013</v>
      </c>
      <c r="AI367" s="32">
        <f t="shared" si="344"/>
        <v>1.54333574870391</v>
      </c>
      <c r="AJ367" s="32" t="str">
        <f t="shared" si="325"/>
        <v>1+0,0388337977128272i</v>
      </c>
      <c r="AK367" s="32">
        <f t="shared" si="345"/>
        <v>1.00075374785449</v>
      </c>
      <c r="AL367" s="32">
        <f t="shared" si="346"/>
        <v>0.0388142940753306</v>
      </c>
      <c r="AM367" s="32" t="str">
        <f t="shared" si="326"/>
        <v>1-0,434175057551787i</v>
      </c>
      <c r="AN367" s="32">
        <f t="shared" si="347"/>
        <v>1.09018713100096</v>
      </c>
      <c r="AO367" s="32">
        <f t="shared" si="348"/>
        <v>-0.409616265910272</v>
      </c>
      <c r="AP367" s="30" t="str">
        <f t="shared" si="349"/>
        <v>-0,761026898217641-2,12874155139626i</v>
      </c>
      <c r="AQ367" s="32">
        <f t="shared" si="350"/>
        <v>7.08480603656394</v>
      </c>
      <c r="AR367" s="31">
        <f t="shared" si="351"/>
        <v>-109.672012793668</v>
      </c>
      <c r="AS367" t="str">
        <f t="shared" si="327"/>
        <v>-0,000338461538461538</v>
      </c>
      <c r="AT367" t="str">
        <f t="shared" si="328"/>
        <v>0,0339900581241063i</v>
      </c>
      <c r="AU367">
        <f t="shared" si="352"/>
        <v>0.0339900581241063</v>
      </c>
      <c r="AV367">
        <f t="shared" si="353"/>
        <v>1.5707963267949</v>
      </c>
      <c r="AW367" t="str">
        <f t="shared" si="329"/>
        <v>1+5,51646060285949i</v>
      </c>
      <c r="AX367">
        <f t="shared" si="354"/>
        <v>5.60636580887306</v>
      </c>
      <c r="AY367">
        <f t="shared" si="355"/>
        <v>1.39146804465523</v>
      </c>
      <c r="AZ367" t="str">
        <f t="shared" si="330"/>
        <v>1+48,1539091639057i</v>
      </c>
      <c r="BA367">
        <f t="shared" si="356"/>
        <v>48.1642914176642</v>
      </c>
      <c r="BB367">
        <f t="shared" si="357"/>
        <v>1.55003256530666</v>
      </c>
      <c r="BC367" s="30" t="str">
        <f t="shared" si="358"/>
        <v>-0,013507835474546+0,0844731050578768i</v>
      </c>
      <c r="BD367" s="32">
        <f t="shared" si="359"/>
        <v>-21.3559767839432</v>
      </c>
      <c r="BE367" s="31">
        <f t="shared" si="360"/>
        <v>99.085077813842</v>
      </c>
      <c r="BF367" s="30" t="str">
        <f t="shared" si="361"/>
        <v>0,0251510513188103-0,0754729668402456i</v>
      </c>
      <c r="BG367" s="68">
        <f t="shared" si="362"/>
        <v>-21.9868246405859</v>
      </c>
      <c r="BH367" s="31">
        <f t="shared" si="363"/>
        <v>-71.5695636182973</v>
      </c>
      <c r="BI367" s="30" t="str">
        <f t="shared" si="316"/>
        <v>0,190101234844992-0,0355316144809184i</v>
      </c>
      <c r="BJ367" s="68">
        <f t="shared" si="364"/>
        <v>-14.2711707473793</v>
      </c>
      <c r="BK367" s="31">
        <f t="shared" si="317"/>
        <v>-10.586934979826</v>
      </c>
      <c r="BL367" s="32">
        <f t="shared" si="365"/>
        <v>-21.9868246405859</v>
      </c>
      <c r="BM367" s="31">
        <f t="shared" si="366"/>
        <v>-71.5695636182973</v>
      </c>
      <c r="BO367">
        <f t="shared" si="367"/>
        <v>0</v>
      </c>
      <c r="BP367">
        <f t="shared" si="368"/>
        <v>0</v>
      </c>
    </row>
    <row r="368" spans="14:68">
      <c r="N368" s="7">
        <v>50</v>
      </c>
      <c r="O368" s="18">
        <f t="shared" si="318"/>
        <v>31622.7766016838</v>
      </c>
      <c r="P368" s="86" t="str">
        <f t="shared" si="319"/>
        <v>15</v>
      </c>
      <c r="Q368" s="4" t="str">
        <f t="shared" si="320"/>
        <v>1+57,9517648838106i</v>
      </c>
      <c r="R368" s="4">
        <f t="shared" si="331"/>
        <v>57.9603921065797</v>
      </c>
      <c r="S368" s="4">
        <f t="shared" si="332"/>
        <v>1.55354230931452</v>
      </c>
      <c r="T368" s="4" t="str">
        <f t="shared" si="321"/>
        <v>1+0,0397383530631844i</v>
      </c>
      <c r="U368" s="4">
        <f t="shared" si="333"/>
        <v>1.00078925688887</v>
      </c>
      <c r="V368" s="4">
        <f t="shared" si="334"/>
        <v>0.039717455429118</v>
      </c>
      <c r="W368" t="str">
        <f t="shared" si="322"/>
        <v>1-3,47710589302864i</v>
      </c>
      <c r="X368" s="4">
        <f t="shared" si="335"/>
        <v>3.61804717925769</v>
      </c>
      <c r="Y368" s="4">
        <f t="shared" si="336"/>
        <v>-1.29075829961892</v>
      </c>
      <c r="Z368" t="str">
        <f t="shared" si="323"/>
        <v>0,992888888888889+0,184499496364784i</v>
      </c>
      <c r="AA368" s="4">
        <f t="shared" si="337"/>
        <v>1.00988534489707</v>
      </c>
      <c r="AB368" s="4">
        <f t="shared" si="338"/>
        <v>0.183725373682557</v>
      </c>
      <c r="AC368" s="67" t="str">
        <f t="shared" si="339"/>
        <v>-0,917027864485558-0,141677173829577i</v>
      </c>
      <c r="AD368" s="68">
        <f t="shared" si="340"/>
        <v>-0.649905304765438</v>
      </c>
      <c r="AE368" s="31">
        <f t="shared" si="341"/>
        <v>-171.217466490763</v>
      </c>
      <c r="AF368" s="32" t="str">
        <f t="shared" si="342"/>
        <v>75,4669735059805</v>
      </c>
      <c r="AG368" s="32" t="str">
        <f t="shared" si="324"/>
        <v>1+37,2547059967354i</v>
      </c>
      <c r="AH368" s="32">
        <f t="shared" si="343"/>
        <v>37.2681247033332</v>
      </c>
      <c r="AI368" s="32">
        <f t="shared" si="344"/>
        <v>1.54396052422197</v>
      </c>
      <c r="AJ368" s="32" t="str">
        <f t="shared" si="325"/>
        <v>1+0,0397383530631844i</v>
      </c>
      <c r="AK368" s="32">
        <f t="shared" si="345"/>
        <v>1.00078925688887</v>
      </c>
      <c r="AL368" s="32">
        <f t="shared" si="346"/>
        <v>0.039717455429118</v>
      </c>
      <c r="AM368" s="32" t="str">
        <f t="shared" si="326"/>
        <v>1-0,444288293815836i</v>
      </c>
      <c r="AN368" s="32">
        <f t="shared" si="347"/>
        <v>1.09425412405976</v>
      </c>
      <c r="AO368" s="32">
        <f t="shared" si="348"/>
        <v>-0.418093928198952</v>
      </c>
      <c r="AP368" s="30" t="str">
        <f t="shared" si="349"/>
        <v>-0,763613463878932-2,08196456866796i</v>
      </c>
      <c r="AQ368" s="32">
        <f t="shared" si="350"/>
        <v>6.91760440714145</v>
      </c>
      <c r="AR368" s="31">
        <f t="shared" si="351"/>
        <v>-110.141796729483</v>
      </c>
      <c r="AS368" t="str">
        <f t="shared" si="327"/>
        <v>-0,000338461538461538</v>
      </c>
      <c r="AT368" t="str">
        <f t="shared" si="328"/>
        <v>0,0347817882856135i</v>
      </c>
      <c r="AU368">
        <f t="shared" si="352"/>
        <v>0.0347817882856135</v>
      </c>
      <c r="AV368">
        <f t="shared" si="353"/>
        <v>1.5707963267949</v>
      </c>
      <c r="AW368" t="str">
        <f t="shared" si="329"/>
        <v>1+5,64495547709897i</v>
      </c>
      <c r="AX368">
        <f t="shared" si="354"/>
        <v>5.73284591964843</v>
      </c>
      <c r="AY368">
        <f t="shared" si="355"/>
        <v>1.3954659753343</v>
      </c>
      <c r="AZ368" t="str">
        <f t="shared" si="330"/>
        <v>1+49,2755577983486i</v>
      </c>
      <c r="BA368">
        <f t="shared" si="356"/>
        <v>49.285703772376</v>
      </c>
      <c r="BB368">
        <f t="shared" si="357"/>
        <v>1.5505050749869</v>
      </c>
      <c r="BC368" s="30" t="str">
        <f t="shared" si="358"/>
        <v>-0,012918380923412+0,0826546839026455i</v>
      </c>
      <c r="BD368" s="32">
        <f t="shared" si="359"/>
        <v>-21.5498378029012</v>
      </c>
      <c r="BE368" s="31">
        <f t="shared" si="360"/>
        <v>98.8830860696017</v>
      </c>
      <c r="BF368" s="30" t="str">
        <f t="shared" si="361"/>
        <v>0,0235567972899113-0,0739664085692889i</v>
      </c>
      <c r="BG368" s="68">
        <f t="shared" si="362"/>
        <v>-22.1997431076667</v>
      </c>
      <c r="BH368" s="31">
        <f t="shared" si="363"/>
        <v>-72.3343804211614</v>
      </c>
      <c r="BI368" s="30" t="str">
        <f t="shared" si="316"/>
        <v>0,181948772924392-0,0362206181136175i</v>
      </c>
      <c r="BJ368" s="68">
        <f t="shared" si="364"/>
        <v>-14.6322333957598</v>
      </c>
      <c r="BK368" s="31">
        <f t="shared" si="317"/>
        <v>-11.2587106598815</v>
      </c>
      <c r="BL368" s="32">
        <f t="shared" si="365"/>
        <v>-22.1997431076667</v>
      </c>
      <c r="BM368" s="31">
        <f t="shared" si="366"/>
        <v>-72.3343804211614</v>
      </c>
      <c r="BO368">
        <f t="shared" si="367"/>
        <v>0</v>
      </c>
      <c r="BP368">
        <f t="shared" si="368"/>
        <v>0</v>
      </c>
    </row>
    <row r="369" spans="14:68">
      <c r="N369" s="7">
        <v>51</v>
      </c>
      <c r="O369" s="18">
        <f t="shared" si="318"/>
        <v>32359.3656929629</v>
      </c>
      <c r="P369" s="86" t="str">
        <f t="shared" si="319"/>
        <v>15</v>
      </c>
      <c r="Q369" s="4" t="str">
        <f t="shared" si="320"/>
        <v>1+59,3016348959052i</v>
      </c>
      <c r="R369" s="4">
        <f t="shared" si="331"/>
        <v>59.3100657673488</v>
      </c>
      <c r="S369" s="4">
        <f t="shared" si="332"/>
        <v>1.55393498339925</v>
      </c>
      <c r="T369" s="4" t="str">
        <f t="shared" si="321"/>
        <v>1+0,040663978214335i</v>
      </c>
      <c r="U369" s="4">
        <f t="shared" si="333"/>
        <v>1.00082643806217</v>
      </c>
      <c r="V369" s="4">
        <f t="shared" si="334"/>
        <v>0.0406415869945294</v>
      </c>
      <c r="W369" t="str">
        <f t="shared" si="322"/>
        <v>1-3,55809809375432i</v>
      </c>
      <c r="X369" s="4">
        <f t="shared" si="335"/>
        <v>3.69595211613708</v>
      </c>
      <c r="Y369" s="4">
        <f t="shared" si="336"/>
        <v>-1.29681512835217</v>
      </c>
      <c r="Z369" t="str">
        <f t="shared" si="323"/>
        <v>0,992553752547194+0,188797041709412i</v>
      </c>
      <c r="AA369" s="4">
        <f t="shared" si="337"/>
        <v>1.01035007529754</v>
      </c>
      <c r="AB369" s="4">
        <f t="shared" si="338"/>
        <v>0.187967920389391</v>
      </c>
      <c r="AC369" s="67" t="str">
        <f t="shared" si="339"/>
        <v>-0,916406332798472-0,132429626546567i</v>
      </c>
      <c r="AD369" s="68">
        <f t="shared" si="340"/>
        <v>-0.668478389831533</v>
      </c>
      <c r="AE369" s="31">
        <f t="shared" si="341"/>
        <v>-171.777126964467</v>
      </c>
      <c r="AF369" s="32" t="str">
        <f t="shared" si="342"/>
        <v>75,4669735059805</v>
      </c>
      <c r="AG369" s="32" t="str">
        <f t="shared" si="324"/>
        <v>1+38,1224795759391i</v>
      </c>
      <c r="AH369" s="32">
        <f t="shared" si="343"/>
        <v>38.1355929417374</v>
      </c>
      <c r="AI369" s="32">
        <f t="shared" si="344"/>
        <v>1.54457109836257</v>
      </c>
      <c r="AJ369" s="32" t="str">
        <f t="shared" si="325"/>
        <v>1+0,040663978214335i</v>
      </c>
      <c r="AK369" s="32">
        <f t="shared" si="345"/>
        <v>1.00082643806217</v>
      </c>
      <c r="AL369" s="32">
        <f t="shared" si="346"/>
        <v>0.0406415869945294</v>
      </c>
      <c r="AM369" s="32" t="str">
        <f t="shared" si="326"/>
        <v>1-0,454637097614118i</v>
      </c>
      <c r="AN369" s="32">
        <f t="shared" si="347"/>
        <v>1.098496650212</v>
      </c>
      <c r="AO369" s="32">
        <f t="shared" si="348"/>
        <v>-0.426703441267152</v>
      </c>
      <c r="AP369" s="30" t="str">
        <f t="shared" si="349"/>
        <v>-0,76608377877579-2,03628522409318i</v>
      </c>
      <c r="AQ369" s="32">
        <f t="shared" si="350"/>
        <v>6.75167872918622</v>
      </c>
      <c r="AR369" s="31">
        <f t="shared" si="351"/>
        <v>-110.617119974877</v>
      </c>
      <c r="AS369" t="str">
        <f t="shared" si="327"/>
        <v>-0,000338461538461538</v>
      </c>
      <c r="AT369" t="str">
        <f t="shared" si="328"/>
        <v>0,0355919602116611i</v>
      </c>
      <c r="AU369">
        <f t="shared" si="352"/>
        <v>0.0355919602116611</v>
      </c>
      <c r="AV369">
        <f t="shared" si="353"/>
        <v>1.5707963267949</v>
      </c>
      <c r="AW369" t="str">
        <f t="shared" si="329"/>
        <v>1+5,77644338145223i</v>
      </c>
      <c r="AX369">
        <f t="shared" si="354"/>
        <v>5.86236284608205</v>
      </c>
      <c r="AY369">
        <f t="shared" si="355"/>
        <v>1.39937838161022</v>
      </c>
      <c r="AZ369" t="str">
        <f t="shared" si="330"/>
        <v>1+50,4233329857754i</v>
      </c>
      <c r="BA369">
        <f t="shared" si="356"/>
        <v>50.4332480551708</v>
      </c>
      <c r="BB369">
        <f t="shared" si="357"/>
        <v>1.55096683779025</v>
      </c>
      <c r="BC369" s="30" t="str">
        <f t="shared" si="358"/>
        <v>-0,0123538759170427+0,0808709589555518i</v>
      </c>
      <c r="BD369" s="32">
        <f t="shared" si="359"/>
        <v>-21.7439667868448</v>
      </c>
      <c r="BE369" s="31">
        <f t="shared" si="360"/>
        <v>98.6853787620195</v>
      </c>
      <c r="BF369" s="30" t="str">
        <f t="shared" si="361"/>
        <v>0,0220308810179309-0,0724746397522564i</v>
      </c>
      <c r="BG369" s="68">
        <f t="shared" si="362"/>
        <v>-22.4124451766764</v>
      </c>
      <c r="BH369" s="31">
        <f t="shared" si="363"/>
        <v>-73.0917482024472</v>
      </c>
      <c r="BI369" s="30" t="str">
        <f t="shared" si="316"/>
        <v>0,174140442724491-0,0367979148397363i</v>
      </c>
      <c r="BJ369" s="68">
        <f t="shared" si="364"/>
        <v>-14.9922880576586</v>
      </c>
      <c r="BK369" s="31">
        <f t="shared" si="317"/>
        <v>-11.9317412128577</v>
      </c>
      <c r="BL369" s="32">
        <f t="shared" si="365"/>
        <v>-22.4124451766764</v>
      </c>
      <c r="BM369" s="31">
        <f t="shared" si="366"/>
        <v>-73.0917482024472</v>
      </c>
      <c r="BO369">
        <f t="shared" si="367"/>
        <v>0</v>
      </c>
      <c r="BP369">
        <f t="shared" si="368"/>
        <v>0</v>
      </c>
    </row>
    <row r="370" spans="14:68">
      <c r="N370" s="7">
        <v>52</v>
      </c>
      <c r="O370" s="18">
        <f t="shared" si="318"/>
        <v>33113.1121482591</v>
      </c>
      <c r="P370" s="86" t="str">
        <f t="shared" si="319"/>
        <v>15</v>
      </c>
      <c r="Q370" s="4" t="str">
        <f t="shared" si="320"/>
        <v>1+60,6829474197715i</v>
      </c>
      <c r="R370" s="4">
        <f t="shared" si="331"/>
        <v>60.6911864075069</v>
      </c>
      <c r="S370" s="4">
        <f t="shared" si="332"/>
        <v>1.55431872415558</v>
      </c>
      <c r="T370" s="4" t="str">
        <f t="shared" si="321"/>
        <v>1+0,0416111639449862i</v>
      </c>
      <c r="U370" s="4">
        <f t="shared" si="333"/>
        <v>1.00086537004977</v>
      </c>
      <c r="V370" s="4">
        <f t="shared" si="334"/>
        <v>0.0415871724409445</v>
      </c>
      <c r="W370" t="str">
        <f t="shared" si="322"/>
        <v>1-3,6409768451863i</v>
      </c>
      <c r="X370" s="4">
        <f t="shared" si="335"/>
        <v>3.7758061903629</v>
      </c>
      <c r="Y370" s="4">
        <f t="shared" si="336"/>
        <v>-1.30275407908694</v>
      </c>
      <c r="Z370" t="str">
        <f t="shared" si="323"/>
        <v>0,992202821716315+0,193194689744578i</v>
      </c>
      <c r="AA370" s="4">
        <f t="shared" si="337"/>
        <v>1.0108365978571</v>
      </c>
      <c r="AB370" s="4">
        <f t="shared" si="338"/>
        <v>0.192306680527889</v>
      </c>
      <c r="AC370" s="67" t="str">
        <f t="shared" si="339"/>
        <v>-0,915737272198361-0,123262409571243i</v>
      </c>
      <c r="AD370" s="68">
        <f t="shared" si="340"/>
        <v>-0.686599370851552</v>
      </c>
      <c r="AE370" s="31">
        <f t="shared" si="341"/>
        <v>-172.333805091077</v>
      </c>
      <c r="AF370" s="32" t="str">
        <f t="shared" si="342"/>
        <v>75,4669735059805</v>
      </c>
      <c r="AG370" s="32" t="str">
        <f t="shared" si="324"/>
        <v>1+39,0104661984246i</v>
      </c>
      <c r="AH370" s="32">
        <f t="shared" si="343"/>
        <v>39.0232811667398</v>
      </c>
      <c r="AI370" s="32">
        <f t="shared" si="344"/>
        <v>1.54516779303818</v>
      </c>
      <c r="AJ370" s="32" t="str">
        <f t="shared" si="325"/>
        <v>1+0,0416111639449862i</v>
      </c>
      <c r="AK370" s="32">
        <f t="shared" si="345"/>
        <v>1.00086537004977</v>
      </c>
      <c r="AL370" s="32">
        <f t="shared" si="346"/>
        <v>0.0415871724409445</v>
      </c>
      <c r="AM370" s="32" t="str">
        <f t="shared" si="326"/>
        <v>1-0,465226956019387i</v>
      </c>
      <c r="AN370" s="32">
        <f t="shared" si="347"/>
        <v>1.10292162940395</v>
      </c>
      <c r="AO370" s="32">
        <f t="shared" si="348"/>
        <v>-0.43544426359997</v>
      </c>
      <c r="AP370" s="30" t="str">
        <f t="shared" si="349"/>
        <v>-0,768443060650507-1,99167971427323i</v>
      </c>
      <c r="AQ370" s="32">
        <f t="shared" si="350"/>
        <v>6.58706934390417</v>
      </c>
      <c r="AR370" s="31">
        <f t="shared" si="351"/>
        <v>-111.097942235343</v>
      </c>
      <c r="AS370" t="str">
        <f t="shared" si="327"/>
        <v>-0,000338461538461538</v>
      </c>
      <c r="AT370" t="str">
        <f t="shared" si="328"/>
        <v>0,0364210034661281i</v>
      </c>
      <c r="AU370">
        <f t="shared" si="352"/>
        <v>0.0364210034661281</v>
      </c>
      <c r="AV370">
        <f t="shared" si="353"/>
        <v>1.5707963267949</v>
      </c>
      <c r="AW370" t="str">
        <f t="shared" si="329"/>
        <v>1+5,9109940325466i</v>
      </c>
      <c r="AX370">
        <f t="shared" si="354"/>
        <v>5.99498544225101</v>
      </c>
      <c r="AY370">
        <f t="shared" si="355"/>
        <v>1.40320685855881</v>
      </c>
      <c r="AZ370" t="str">
        <f t="shared" si="330"/>
        <v>1+51,5978432917829i</v>
      </c>
      <c r="BA370">
        <f t="shared" si="356"/>
        <v>51.6075327095123</v>
      </c>
      <c r="BB370">
        <f t="shared" si="357"/>
        <v>1.55141809776133</v>
      </c>
      <c r="BC370" s="30" t="str">
        <f t="shared" si="358"/>
        <v>-0,0118133306473358+0,0791215586253453i</v>
      </c>
      <c r="BD370" s="32">
        <f t="shared" si="359"/>
        <v>-21.9383523878446</v>
      </c>
      <c r="BE370" s="31">
        <f t="shared" si="360"/>
        <v>98.4918784827084</v>
      </c>
      <c r="BF370" s="30" t="str">
        <f t="shared" si="361"/>
        <v>0,020570621147761-0,070998420667004i</v>
      </c>
      <c r="BG370" s="68">
        <f t="shared" si="362"/>
        <v>-22.6249517586961</v>
      </c>
      <c r="BH370" s="31">
        <f t="shared" si="363"/>
        <v>-73.8419266083687</v>
      </c>
      <c r="BI370" s="30" t="str">
        <f t="shared" ref="BI370:BI433" si="369">IMPRODUCT(AP370,BC370)</f>
        <v>0,166662675234896-0,0372720416651979i</v>
      </c>
      <c r="BJ370" s="68">
        <f t="shared" si="364"/>
        <v>-15.3512830439404</v>
      </c>
      <c r="BK370" s="31">
        <f t="shared" ref="BK370:BK433" si="370">(180/PI())*IMARGUMENT(BI370)</f>
        <v>-12.6060637526346</v>
      </c>
      <c r="BL370" s="32">
        <f t="shared" si="365"/>
        <v>-22.6249517586961</v>
      </c>
      <c r="BM370" s="31">
        <f t="shared" si="366"/>
        <v>-73.8419266083687</v>
      </c>
      <c r="BO370">
        <f t="shared" si="367"/>
        <v>0</v>
      </c>
      <c r="BP370">
        <f t="shared" si="368"/>
        <v>0</v>
      </c>
    </row>
    <row r="371" spans="14:68">
      <c r="N371" s="7">
        <v>53</v>
      </c>
      <c r="O371" s="18">
        <f t="shared" si="318"/>
        <v>33884.4156139203</v>
      </c>
      <c r="P371" s="86" t="str">
        <f t="shared" si="319"/>
        <v>15</v>
      </c>
      <c r="Q371" s="4" t="str">
        <f t="shared" si="320"/>
        <v>1+62,096434845594i</v>
      </c>
      <c r="R371" s="4">
        <f t="shared" si="331"/>
        <v>62.1044863156689</v>
      </c>
      <c r="S371" s="4">
        <f t="shared" si="332"/>
        <v>1.55469373459562</v>
      </c>
      <c r="T371" s="4" t="str">
        <f t="shared" si="321"/>
        <v>1+0,0425804124655502i</v>
      </c>
      <c r="U371" s="4">
        <f t="shared" si="333"/>
        <v>1.00090613522235</v>
      </c>
      <c r="V371" s="4">
        <f t="shared" si="334"/>
        <v>0.0425547063626036</v>
      </c>
      <c r="W371" t="str">
        <f t="shared" si="322"/>
        <v>1-3,72578609073565i</v>
      </c>
      <c r="X371" s="4">
        <f t="shared" si="335"/>
        <v>3.85765239412771</v>
      </c>
      <c r="Y371" s="4">
        <f t="shared" si="336"/>
        <v>-1.30857662427822</v>
      </c>
      <c r="Z371" t="str">
        <f t="shared" si="323"/>
        <v>0,991835352024911+0,197694772161483i</v>
      </c>
      <c r="AA371" s="4">
        <f t="shared" si="337"/>
        <v>1.01134592917872</v>
      </c>
      <c r="AB371" s="4">
        <f t="shared" si="338"/>
        <v>0.196743712946124</v>
      </c>
      <c r="AC371" s="67" t="str">
        <f t="shared" si="339"/>
        <v>-0,91501946098147-0,114171402869026i</v>
      </c>
      <c r="AD371" s="68">
        <f t="shared" si="340"/>
        <v>-0.704300053194041</v>
      </c>
      <c r="AE371" s="31">
        <f t="shared" si="341"/>
        <v>-172.88768649293</v>
      </c>
      <c r="AF371" s="32" t="str">
        <f t="shared" si="342"/>
        <v>75,4669735059805</v>
      </c>
      <c r="AG371" s="32" t="str">
        <f t="shared" si="324"/>
        <v>1+39,9191366864533i</v>
      </c>
      <c r="AH371" s="32">
        <f t="shared" si="343"/>
        <v>39.9316600430253</v>
      </c>
      <c r="AI371" s="32">
        <f t="shared" si="344"/>
        <v>1.54575092292364</v>
      </c>
      <c r="AJ371" s="32" t="str">
        <f t="shared" si="325"/>
        <v>1+0,0425804124655502i</v>
      </c>
      <c r="AK371" s="32">
        <f t="shared" si="345"/>
        <v>1.00090613522235</v>
      </c>
      <c r="AL371" s="32">
        <f t="shared" si="346"/>
        <v>0.0425547063626036</v>
      </c>
      <c r="AM371" s="32" t="str">
        <f t="shared" si="326"/>
        <v>1-0,476063483914748i</v>
      </c>
      <c r="AN371" s="32">
        <f t="shared" si="347"/>
        <v>1.10753620289228</v>
      </c>
      <c r="AO371" s="32">
        <f t="shared" si="348"/>
        <v>-0.444315686141012</v>
      </c>
      <c r="AP371" s="30" t="str">
        <f t="shared" si="349"/>
        <v>-0,770696293673811-1,94812477743988i</v>
      </c>
      <c r="AQ371" s="32">
        <f t="shared" si="350"/>
        <v>6.42381702138527</v>
      </c>
      <c r="AR371" s="31">
        <f t="shared" si="351"/>
        <v>-111.58421257632</v>
      </c>
      <c r="AS371" t="str">
        <f t="shared" si="327"/>
        <v>-0,000338461538461538</v>
      </c>
      <c r="AT371" t="str">
        <f t="shared" si="328"/>
        <v>0,037269357618722i</v>
      </c>
      <c r="AU371">
        <f t="shared" si="352"/>
        <v>0.037269357618722</v>
      </c>
      <c r="AV371">
        <f t="shared" si="353"/>
        <v>1.5707963267949</v>
      </c>
      <c r="AW371" t="str">
        <f t="shared" si="329"/>
        <v>1+6,04867877091833i</v>
      </c>
      <c r="AX371">
        <f t="shared" si="354"/>
        <v>6.13078419729141</v>
      </c>
      <c r="AY371">
        <f t="shared" si="355"/>
        <v>1.40695298694515</v>
      </c>
      <c r="AZ371" t="str">
        <f t="shared" si="330"/>
        <v>1+52,7997114572822i</v>
      </c>
      <c r="BA371">
        <f t="shared" si="356"/>
        <v>52.8091803569442</v>
      </c>
      <c r="BB371">
        <f t="shared" si="357"/>
        <v>1.5518590934286</v>
      </c>
      <c r="BC371" s="30" t="str">
        <f t="shared" si="358"/>
        <v>-0,0112957888817505+0,0774060948478345i</v>
      </c>
      <c r="BD371" s="32">
        <f t="shared" si="359"/>
        <v>-22.1329837086425</v>
      </c>
      <c r="BE371" s="31">
        <f t="shared" si="360"/>
        <v>98.3025083271753</v>
      </c>
      <c r="BF371" s="30" t="str">
        <f t="shared" si="361"/>
        <v>0,01917342909333-0,0695384271212043i</v>
      </c>
      <c r="BG371" s="68">
        <f t="shared" si="362"/>
        <v>-22.8372837618365</v>
      </c>
      <c r="BH371" s="31">
        <f t="shared" si="363"/>
        <v>-74.5851781657551</v>
      </c>
      <c r="BI371" s="30" t="str">
        <f t="shared" si="369"/>
        <v>0,159502353923215-0,0376509842057215i</v>
      </c>
      <c r="BJ371" s="68">
        <f t="shared" si="364"/>
        <v>-15.7091666872572</v>
      </c>
      <c r="BK371" s="31">
        <f t="shared" si="370"/>
        <v>-13.281704249145</v>
      </c>
      <c r="BL371" s="32">
        <f t="shared" si="365"/>
        <v>-22.8372837618365</v>
      </c>
      <c r="BM371" s="31">
        <f t="shared" si="366"/>
        <v>-74.5851781657551</v>
      </c>
      <c r="BO371">
        <f t="shared" si="367"/>
        <v>0</v>
      </c>
      <c r="BP371">
        <f t="shared" si="368"/>
        <v>0</v>
      </c>
    </row>
    <row r="372" spans="14:68">
      <c r="N372" s="7">
        <v>54</v>
      </c>
      <c r="O372" s="18">
        <f t="shared" si="318"/>
        <v>34673.6850452532</v>
      </c>
      <c r="P372" s="86" t="str">
        <f t="shared" si="319"/>
        <v>15</v>
      </c>
      <c r="Q372" s="4" t="str">
        <f t="shared" si="320"/>
        <v>1+63,5428466231145i</v>
      </c>
      <c r="R372" s="4">
        <f t="shared" si="331"/>
        <v>63.5507148423104</v>
      </c>
      <c r="S372" s="4">
        <f t="shared" si="332"/>
        <v>1.55506021313272</v>
      </c>
      <c r="T372" s="4" t="str">
        <f t="shared" si="321"/>
        <v>1+0,0435722376844214i</v>
      </c>
      <c r="U372" s="4">
        <f t="shared" si="333"/>
        <v>1.00094881981889</v>
      </c>
      <c r="V372" s="4">
        <f t="shared" si="334"/>
        <v>0.0435446945088317</v>
      </c>
      <c r="W372" t="str">
        <f t="shared" si="322"/>
        <v>1-3,81257079738687i</v>
      </c>
      <c r="X372" s="4">
        <f t="shared" si="335"/>
        <v>3.9415347372676</v>
      </c>
      <c r="Y372" s="4">
        <f t="shared" si="336"/>
        <v>-1.31428427130827</v>
      </c>
      <c r="Z372" t="str">
        <f t="shared" si="323"/>
        <v>0,991450564020498+0,202299674963384i</v>
      </c>
      <c r="AA372" s="4">
        <f t="shared" si="337"/>
        <v>1.01187913279544</v>
      </c>
      <c r="AB372" s="4">
        <f t="shared" si="338"/>
        <v>0.201281111925334</v>
      </c>
      <c r="AC372" s="67" t="str">
        <f t="shared" si="339"/>
        <v>-0,914251592493891-0,105152573521682i</v>
      </c>
      <c r="AD372" s="68">
        <f t="shared" si="340"/>
        <v>-0.721611811852595</v>
      </c>
      <c r="AE372" s="31">
        <f t="shared" si="341"/>
        <v>-173.438959921089</v>
      </c>
      <c r="AF372" s="32" t="str">
        <f t="shared" si="342"/>
        <v>75,4669735059805</v>
      </c>
      <c r="AG372" s="32" t="str">
        <f t="shared" si="324"/>
        <v>1+40,8489728291451i</v>
      </c>
      <c r="AH372" s="32">
        <f t="shared" si="343"/>
        <v>40.8612112056928</v>
      </c>
      <c r="AI372" s="32">
        <f t="shared" si="344"/>
        <v>1.54632079561493</v>
      </c>
      <c r="AJ372" s="32" t="str">
        <f t="shared" si="325"/>
        <v>1+0,0435722376844214i</v>
      </c>
      <c r="AK372" s="32">
        <f t="shared" si="345"/>
        <v>1.00094881981889</v>
      </c>
      <c r="AL372" s="32">
        <f t="shared" si="346"/>
        <v>0.0435446945088317</v>
      </c>
      <c r="AM372" s="32" t="str">
        <f t="shared" si="326"/>
        <v>1-0,487152426970721i</v>
      </c>
      <c r="AN372" s="32">
        <f t="shared" si="347"/>
        <v>1.11234773659295</v>
      </c>
      <c r="AO372" s="32">
        <f t="shared" si="348"/>
        <v>-0.453316826026692</v>
      </c>
      <c r="AP372" s="30" t="str">
        <f t="shared" si="349"/>
        <v>-0,772848238846199-1,90559768296597i</v>
      </c>
      <c r="AQ372" s="32">
        <f t="shared" si="350"/>
        <v>6.26196290115544</v>
      </c>
      <c r="AR372" s="31">
        <f t="shared" si="351"/>
        <v>-112.0758690601</v>
      </c>
      <c r="AS372" t="str">
        <f t="shared" si="327"/>
        <v>-0,000338461538461538</v>
      </c>
      <c r="AT372" t="str">
        <f t="shared" si="328"/>
        <v>0,0381374724780436i</v>
      </c>
      <c r="AU372">
        <f t="shared" si="352"/>
        <v>0.0381374724780436</v>
      </c>
      <c r="AV372">
        <f t="shared" si="353"/>
        <v>1.5707963267949</v>
      </c>
      <c r="AW372" t="str">
        <f t="shared" si="329"/>
        <v>1+6,18957059883806i</v>
      </c>
      <c r="AX372">
        <f t="shared" si="354"/>
        <v>6.26983127348739</v>
      </c>
      <c r="AY372">
        <f t="shared" si="355"/>
        <v>1.41061833223433</v>
      </c>
      <c r="AZ372" t="str">
        <f t="shared" si="330"/>
        <v>1+54,0295747286825i</v>
      </c>
      <c r="BA372">
        <f t="shared" si="356"/>
        <v>54.0388281272113</v>
      </c>
      <c r="BB372">
        <f t="shared" si="357"/>
        <v>1.5522900579273</v>
      </c>
      <c r="BC372" s="30" t="str">
        <f t="shared" si="358"/>
        <v>-0,0108003273268799+0,0757241648214892i</v>
      </c>
      <c r="BD372" s="32">
        <f t="shared" si="359"/>
        <v>-22.3278502873271</v>
      </c>
      <c r="BE372" s="31">
        <f t="shared" si="360"/>
        <v>98.1171919585425</v>
      </c>
      <c r="BF372" s="30" t="str">
        <f t="shared" si="361"/>
        <v>0,0178368072668148-0,0680952560650184i</v>
      </c>
      <c r="BG372" s="68">
        <f t="shared" si="362"/>
        <v>-23.0494620991797</v>
      </c>
      <c r="BH372" s="31">
        <f t="shared" si="363"/>
        <v>-75.3217679625465</v>
      </c>
      <c r="BI372" s="30" t="str">
        <f t="shared" si="369"/>
        <v>0,152646806981905-0,0379422086910109i</v>
      </c>
      <c r="BJ372" s="68">
        <f t="shared" si="364"/>
        <v>-16.0658873861717</v>
      </c>
      <c r="BK372" s="31">
        <f t="shared" si="370"/>
        <v>-13.9586771015577</v>
      </c>
      <c r="BL372" s="32">
        <f t="shared" si="365"/>
        <v>-23.0494620991797</v>
      </c>
      <c r="BM372" s="31">
        <f t="shared" si="366"/>
        <v>-75.3217679625465</v>
      </c>
      <c r="BO372">
        <f t="shared" si="367"/>
        <v>0</v>
      </c>
      <c r="BP372">
        <f t="shared" si="368"/>
        <v>0</v>
      </c>
    </row>
    <row r="373" spans="14:68">
      <c r="N373" s="7">
        <v>55</v>
      </c>
      <c r="O373" s="18">
        <f t="shared" si="318"/>
        <v>35481.3389233576</v>
      </c>
      <c r="P373" s="86" t="str">
        <f t="shared" si="319"/>
        <v>15</v>
      </c>
      <c r="Q373" s="4" t="str">
        <f t="shared" si="320"/>
        <v>1+65,0229496590041i</v>
      </c>
      <c r="R373" s="4">
        <f t="shared" si="331"/>
        <v>65.0306387970884</v>
      </c>
      <c r="S373" s="4">
        <f t="shared" si="332"/>
        <v>1.55541835368465</v>
      </c>
      <c r="T373" s="4" t="str">
        <f t="shared" si="321"/>
        <v>1+0,04458716548046i</v>
      </c>
      <c r="U373" s="4">
        <f t="shared" si="333"/>
        <v>1.00099351412763</v>
      </c>
      <c r="V373" s="4">
        <f t="shared" si="334"/>
        <v>0.0445576540179144</v>
      </c>
      <c r="W373" t="str">
        <f t="shared" si="322"/>
        <v>1-3,90137697954025i</v>
      </c>
      <c r="X373" s="4">
        <f t="shared" si="335"/>
        <v>4.02749827268574</v>
      </c>
      <c r="Y373" s="4">
        <f t="shared" si="336"/>
        <v>-1.31987855832013</v>
      </c>
      <c r="Z373" t="str">
        <f t="shared" si="323"/>
        <v>0,99104764151613+0,207011839730707i</v>
      </c>
      <c r="AA373" s="4">
        <f t="shared" si="337"/>
        <v>1.01243732129124</v>
      </c>
      <c r="AB373" s="4">
        <f t="shared" si="338"/>
        <v>0.205921007169917</v>
      </c>
      <c r="AC373" s="67" t="str">
        <f t="shared" si="339"/>
        <v>-0,913432274024695-0,0962019767476972i</v>
      </c>
      <c r="AD373" s="68">
        <f t="shared" si="340"/>
        <v>-0.738565616358053</v>
      </c>
      <c r="AE373" s="31">
        <f t="shared" si="341"/>
        <v>-173.987817008561</v>
      </c>
      <c r="AF373" s="32" t="str">
        <f t="shared" si="342"/>
        <v>75,4669735059805</v>
      </c>
      <c r="AG373" s="32" t="str">
        <f t="shared" si="324"/>
        <v>1+41,8004676379313i</v>
      </c>
      <c r="AH373" s="32">
        <f t="shared" si="343"/>
        <v>41.8124275156291</v>
      </c>
      <c r="AI373" s="32">
        <f t="shared" si="344"/>
        <v>1.54687771178469</v>
      </c>
      <c r="AJ373" s="32" t="str">
        <f t="shared" si="325"/>
        <v>1+0,04458716548046i</v>
      </c>
      <c r="AK373" s="32">
        <f t="shared" si="345"/>
        <v>1.00099351412763</v>
      </c>
      <c r="AL373" s="32">
        <f t="shared" si="346"/>
        <v>0.0445576540179144</v>
      </c>
      <c r="AM373" s="32" t="str">
        <f t="shared" si="326"/>
        <v>1-0,498499664691703i</v>
      </c>
      <c r="AN373" s="32">
        <f t="shared" si="347"/>
        <v>1.11736382422993</v>
      </c>
      <c r="AO373" s="32">
        <f t="shared" si="348"/>
        <v>-0.462446620577112</v>
      </c>
      <c r="AP373" s="30" t="str">
        <f t="shared" si="349"/>
        <v>-0,774903443940904-1,86407622103505i</v>
      </c>
      <c r="AQ373" s="32">
        <f t="shared" si="350"/>
        <v>6.10154842780485</v>
      </c>
      <c r="AR373" s="31">
        <f t="shared" si="351"/>
        <v>-112.572838397042</v>
      </c>
      <c r="AS373" t="str">
        <f t="shared" si="327"/>
        <v>-0,000338461538461538</v>
      </c>
      <c r="AT373" t="str">
        <f t="shared" si="328"/>
        <v>0,0390258083300821i</v>
      </c>
      <c r="AU373">
        <f t="shared" si="352"/>
        <v>0.0390258083300821</v>
      </c>
      <c r="AV373">
        <f t="shared" si="353"/>
        <v>1.5707963267949</v>
      </c>
      <c r="AW373" t="str">
        <f t="shared" si="329"/>
        <v>1+6,33374421901801i</v>
      </c>
      <c r="AX373">
        <f t="shared" si="354"/>
        <v>6.41220054520631</v>
      </c>
      <c r="AY373">
        <f t="shared" si="355"/>
        <v>1.41420444369694</v>
      </c>
      <c r="AZ373" t="str">
        <f t="shared" si="330"/>
        <v>1+55,2880851957704i</v>
      </c>
      <c r="BA373">
        <f t="shared" si="356"/>
        <v>55.2971279960792</v>
      </c>
      <c r="BB373">
        <f t="shared" si="357"/>
        <v>1.55271121911979</v>
      </c>
      <c r="BC373" s="30" t="str">
        <f t="shared" si="358"/>
        <v>-0,0103260549546827+0,0740753526427686i</v>
      </c>
      <c r="BD373" s="32">
        <f t="shared" si="359"/>
        <v>-22.5229420823034</v>
      </c>
      <c r="BE373" s="31">
        <f t="shared" si="360"/>
        <v>97.9358536656956</v>
      </c>
      <c r="BF373" s="30" t="str">
        <f t="shared" si="361"/>
        <v>0,0165583472114769-0,0666694309150195i</v>
      </c>
      <c r="BG373" s="68">
        <f t="shared" si="362"/>
        <v>-23.2615076986615</v>
      </c>
      <c r="BH373" s="31">
        <f t="shared" si="363"/>
        <v>-76.0519633428658</v>
      </c>
      <c r="BI373" s="30" t="str">
        <f t="shared" si="369"/>
        <v>0,146083798972877-0,0381526923758932i</v>
      </c>
      <c r="BJ373" s="68">
        <f t="shared" si="364"/>
        <v>-16.4213936544986</v>
      </c>
      <c r="BK373" s="31">
        <f t="shared" si="370"/>
        <v>-14.6369847313469</v>
      </c>
      <c r="BL373" s="32">
        <f t="shared" si="365"/>
        <v>-23.2615076986615</v>
      </c>
      <c r="BM373" s="31">
        <f t="shared" si="366"/>
        <v>-76.0519633428658</v>
      </c>
      <c r="BO373">
        <f t="shared" si="367"/>
        <v>0</v>
      </c>
      <c r="BP373">
        <f t="shared" si="368"/>
        <v>0</v>
      </c>
    </row>
    <row r="374" spans="14:68">
      <c r="N374" s="7">
        <v>56</v>
      </c>
      <c r="O374" s="18">
        <f t="shared" si="318"/>
        <v>36307.8054770102</v>
      </c>
      <c r="P374" s="86" t="str">
        <f t="shared" si="319"/>
        <v>15</v>
      </c>
      <c r="Q374" s="4" t="str">
        <f t="shared" si="320"/>
        <v>1+66,5375287234831i</v>
      </c>
      <c r="R374" s="4">
        <f t="shared" si="331"/>
        <v>66.5450428554099</v>
      </c>
      <c r="S374" s="4">
        <f t="shared" si="332"/>
        <v>1.55576834577458</v>
      </c>
      <c r="T374" s="4" t="str">
        <f t="shared" si="321"/>
        <v>1+0,045625733981817i</v>
      </c>
      <c r="U374" s="4">
        <f t="shared" si="333"/>
        <v>1.00104031267546</v>
      </c>
      <c r="V374" s="4">
        <f t="shared" si="334"/>
        <v>0.04559411365458</v>
      </c>
      <c r="W374" t="str">
        <f t="shared" si="322"/>
        <v>1-3,99225172340899i</v>
      </c>
      <c r="X374" s="4">
        <f t="shared" si="335"/>
        <v>4.11558912223536</v>
      </c>
      <c r="Y374" s="4">
        <f t="shared" si="336"/>
        <v>-1.32536105026095</v>
      </c>
      <c r="Z374" t="str">
        <f t="shared" si="323"/>
        <v>0,990625729859154+0,211833764915578i</v>
      </c>
      <c r="AA374" s="4">
        <f t="shared" si="337"/>
        <v>1.01302165851342</v>
      </c>
      <c r="AB374" s="4">
        <f t="shared" si="338"/>
        <v>0.210665563744414</v>
      </c>
      <c r="AC374" s="67" t="str">
        <f t="shared" si="339"/>
        <v>-0,912560025663413-0,0873157571385861i</v>
      </c>
      <c r="AD374" s="68">
        <f t="shared" si="340"/>
        <v>-0.755192057194497</v>
      </c>
      <c r="AE374" s="31">
        <f t="shared" si="341"/>
        <v>-174.534452032164</v>
      </c>
      <c r="AF374" s="32" t="str">
        <f t="shared" si="342"/>
        <v>75,4669735059805</v>
      </c>
      <c r="AG374" s="32" t="str">
        <f t="shared" si="324"/>
        <v>1+42,7741256079535i</v>
      </c>
      <c r="AH374" s="32">
        <f t="shared" si="343"/>
        <v>42.7858133208308</v>
      </c>
      <c r="AI374" s="32">
        <f t="shared" si="344"/>
        <v>1.54742196533461</v>
      </c>
      <c r="AJ374" s="32" t="str">
        <f t="shared" si="325"/>
        <v>1+0,045625733981817i</v>
      </c>
      <c r="AK374" s="32">
        <f t="shared" si="345"/>
        <v>1.00104031267546</v>
      </c>
      <c r="AL374" s="32">
        <f t="shared" si="346"/>
        <v>0.04559411365458</v>
      </c>
      <c r="AM374" s="32" t="str">
        <f t="shared" si="326"/>
        <v>1-0,510111213533325i</v>
      </c>
      <c r="AN374" s="32">
        <f t="shared" si="347"/>
        <v>1.12259229026946</v>
      </c>
      <c r="AO374" s="32">
        <f t="shared" si="348"/>
        <v>-0.47170382159408</v>
      </c>
      <c r="AP374" s="30" t="str">
        <f t="shared" si="349"/>
        <v>-0,776866253008205-1,82353869247318i</v>
      </c>
      <c r="AQ374" s="32">
        <f t="shared" si="350"/>
        <v>5.9426152817042</v>
      </c>
      <c r="AR374" s="31">
        <f t="shared" si="351"/>
        <v>-113.075035613998</v>
      </c>
      <c r="AS374" t="str">
        <f t="shared" si="327"/>
        <v>-0,000338461538461538</v>
      </c>
      <c r="AT374" t="str">
        <f t="shared" si="328"/>
        <v>0,039934836182265i</v>
      </c>
      <c r="AU374">
        <f t="shared" si="352"/>
        <v>0.039934836182265</v>
      </c>
      <c r="AV374">
        <f t="shared" si="353"/>
        <v>1.5707963267949</v>
      </c>
      <c r="AW374" t="str">
        <f t="shared" si="329"/>
        <v>1+6,48127607421986i</v>
      </c>
      <c r="AX374">
        <f t="shared" si="354"/>
        <v>6.5579676387014</v>
      </c>
      <c r="AY374">
        <f t="shared" si="355"/>
        <v>1.41771285360377</v>
      </c>
      <c r="AZ374" t="str">
        <f t="shared" si="330"/>
        <v>1+56,5759101374531i</v>
      </c>
      <c r="BA374">
        <f t="shared" si="356"/>
        <v>56.5847471310173</v>
      </c>
      <c r="BB374">
        <f t="shared" si="357"/>
        <v>1.55312279971333</v>
      </c>
      <c r="BC374" s="30" t="str">
        <f t="shared" si="358"/>
        <v>-0,00987211229756588+0,0724592308446758i</v>
      </c>
      <c r="BD374" s="32">
        <f t="shared" si="359"/>
        <v>-22.718249457572</v>
      </c>
      <c r="BE374" s="31">
        <f t="shared" si="360"/>
        <v>97.7584184161714</v>
      </c>
      <c r="BF374" s="30" t="str">
        <f t="shared" si="361"/>
        <v>0,0153357276545013-0,0652614065993494i</v>
      </c>
      <c r="BG374" s="68">
        <f t="shared" si="362"/>
        <v>-23.4734415147665</v>
      </c>
      <c r="BH374" s="31">
        <f t="shared" si="363"/>
        <v>-76.7760336159922</v>
      </c>
      <c r="BI374" s="30" t="str">
        <f t="shared" si="369"/>
        <v>0,139801521961999-0,0382889524111082i</v>
      </c>
      <c r="BJ374" s="68">
        <f t="shared" si="364"/>
        <v>-16.7756341758677</v>
      </c>
      <c r="BK374" s="31">
        <f t="shared" si="370"/>
        <v>-15.3166171978262</v>
      </c>
      <c r="BL374" s="32">
        <f t="shared" si="365"/>
        <v>-23.4734415147665</v>
      </c>
      <c r="BM374" s="31">
        <f t="shared" si="366"/>
        <v>-76.7760336159922</v>
      </c>
      <c r="BO374">
        <f t="shared" si="367"/>
        <v>0</v>
      </c>
      <c r="BP374">
        <f t="shared" si="368"/>
        <v>0</v>
      </c>
    </row>
    <row r="375" spans="14:68">
      <c r="N375" s="7">
        <v>57</v>
      </c>
      <c r="O375" s="18">
        <f t="shared" si="318"/>
        <v>37153.5229097174</v>
      </c>
      <c r="P375" s="86" t="str">
        <f t="shared" si="319"/>
        <v>15</v>
      </c>
      <c r="Q375" s="4" t="str">
        <f t="shared" si="320"/>
        <v>1+68,0873868664196i</v>
      </c>
      <c r="R375" s="4">
        <f t="shared" si="331"/>
        <v>68.0947299744811</v>
      </c>
      <c r="S375" s="4">
        <f t="shared" si="332"/>
        <v>1.55611037462976</v>
      </c>
      <c r="T375" s="4" t="str">
        <f t="shared" si="321"/>
        <v>1+0,0466884938512592i</v>
      </c>
      <c r="U375" s="4">
        <f t="shared" si="333"/>
        <v>1.00108931442609</v>
      </c>
      <c r="V375" s="4">
        <f t="shared" si="334"/>
        <v>0.0466546140510558</v>
      </c>
      <c r="W375" t="str">
        <f t="shared" si="322"/>
        <v>1-4,08524321198518i</v>
      </c>
      <c r="X375" s="4">
        <f t="shared" si="335"/>
        <v>4.20585450307913</v>
      </c>
      <c r="Y375" s="4">
        <f t="shared" si="336"/>
        <v>-1.33073333513184</v>
      </c>
      <c r="Z375" t="str">
        <f t="shared" si="323"/>
        <v>0,990183934118379+0,21676800716656i</v>
      </c>
      <c r="AA375" s="4">
        <f t="shared" si="337"/>
        <v>1.01363336188047</v>
      </c>
      <c r="AB375" s="4">
        <f t="shared" si="338"/>
        <v>0.215516981953373</v>
      </c>
      <c r="AC375" s="67" t="str">
        <f t="shared" si="339"/>
        <v>-0,911633279131502-0,0784901501197413i</v>
      </c>
      <c r="AD375" s="68">
        <f t="shared" si="340"/>
        <v>-0.77152137358514</v>
      </c>
      <c r="AE375" s="31">
        <f t="shared" si="341"/>
        <v>-175.079061682618</v>
      </c>
      <c r="AF375" s="32" t="str">
        <f t="shared" si="342"/>
        <v>75,4669735059805</v>
      </c>
      <c r="AG375" s="32" t="str">
        <f t="shared" si="324"/>
        <v>1+43,7704629855555i</v>
      </c>
      <c r="AH375" s="32">
        <f t="shared" si="343"/>
        <v>43.7818847238202</v>
      </c>
      <c r="AI375" s="32">
        <f t="shared" si="344"/>
        <v>1.54795384354466</v>
      </c>
      <c r="AJ375" s="32" t="str">
        <f t="shared" si="325"/>
        <v>1+0,0466884938512592i</v>
      </c>
      <c r="AK375" s="32">
        <f t="shared" si="345"/>
        <v>1.00108931442609</v>
      </c>
      <c r="AL375" s="32">
        <f t="shared" si="346"/>
        <v>0.0466546140510558</v>
      </c>
      <c r="AM375" s="32" t="str">
        <f t="shared" si="326"/>
        <v>1-0,521993230092483i</v>
      </c>
      <c r="AN375" s="32">
        <f t="shared" si="347"/>
        <v>1.12804119262657</v>
      </c>
      <c r="AO375" s="32">
        <f t="shared" si="348"/>
        <v>-0.481086990018792</v>
      </c>
      <c r="AP375" s="30" t="str">
        <f t="shared" si="349"/>
        <v>-0,778740815460132-1,78396389874449i</v>
      </c>
      <c r="AQ375" s="32">
        <f t="shared" si="350"/>
        <v>5.78520530485569</v>
      </c>
      <c r="AR375" s="31">
        <f t="shared" si="351"/>
        <v>-113.582363742955</v>
      </c>
      <c r="AS375" t="str">
        <f t="shared" si="327"/>
        <v>-0,000338461538461538</v>
      </c>
      <c r="AT375" t="str">
        <f t="shared" si="328"/>
        <v>0,0408650380131917i</v>
      </c>
      <c r="AU375">
        <f t="shared" si="352"/>
        <v>0.0408650380131917</v>
      </c>
      <c r="AV375">
        <f t="shared" si="353"/>
        <v>1.5707963267949</v>
      </c>
      <c r="AW375" t="str">
        <f t="shared" si="329"/>
        <v>1+6,63224438778609i</v>
      </c>
      <c r="AX375">
        <f t="shared" si="354"/>
        <v>6.70720997280688</v>
      </c>
      <c r="AY375">
        <f t="shared" si="355"/>
        <v>1.42114507650456</v>
      </c>
      <c r="AZ375" t="str">
        <f t="shared" si="330"/>
        <v>1+57,8937323755614i</v>
      </c>
      <c r="BA375">
        <f t="shared" si="356"/>
        <v>57.9023682449442</v>
      </c>
      <c r="BB375">
        <f t="shared" si="357"/>
        <v>1.55352501737531</v>
      </c>
      <c r="BC375" s="30" t="str">
        <f t="shared" si="358"/>
        <v>-0,00943767071797395+0,0708753618420979i</v>
      </c>
      <c r="BD375" s="32">
        <f t="shared" si="359"/>
        <v>-22.9137631683328</v>
      </c>
      <c r="BE375" s="31">
        <f t="shared" si="360"/>
        <v>97.5848119040858</v>
      </c>
      <c r="BF375" s="30" t="str">
        <f t="shared" si="361"/>
        <v>0,0141667124947672-0,063871574334309i</v>
      </c>
      <c r="BG375" s="68">
        <f t="shared" si="362"/>
        <v>-23.6852845419179</v>
      </c>
      <c r="BH375" s="31">
        <f t="shared" si="363"/>
        <v>-77.494249778532</v>
      </c>
      <c r="BI375" s="30" t="str">
        <f t="shared" si="369"/>
        <v>0,133788586227715-0,0383570732278437i</v>
      </c>
      <c r="BJ375" s="68">
        <f t="shared" si="364"/>
        <v>-17.1285578634771</v>
      </c>
      <c r="BK375" s="31">
        <f t="shared" si="370"/>
        <v>-15.9975518388693</v>
      </c>
      <c r="BL375" s="32">
        <f t="shared" si="365"/>
        <v>-23.6852845419179</v>
      </c>
      <c r="BM375" s="31">
        <f t="shared" si="366"/>
        <v>-77.494249778532</v>
      </c>
      <c r="BO375">
        <f t="shared" si="367"/>
        <v>0</v>
      </c>
      <c r="BP375">
        <f t="shared" si="368"/>
        <v>0</v>
      </c>
    </row>
    <row r="376" spans="14:68">
      <c r="N376" s="7">
        <v>58</v>
      </c>
      <c r="O376" s="18">
        <f t="shared" si="318"/>
        <v>38018.9396320561</v>
      </c>
      <c r="P376" s="86" t="str">
        <f t="shared" si="319"/>
        <v>15</v>
      </c>
      <c r="Q376" s="4" t="str">
        <f t="shared" si="320"/>
        <v>1+69,6733458431158i</v>
      </c>
      <c r="R376" s="4">
        <f t="shared" si="331"/>
        <v>69.6805218190451</v>
      </c>
      <c r="S376" s="4">
        <f t="shared" si="332"/>
        <v>1.55644462127815</v>
      </c>
      <c r="T376" s="4" t="str">
        <f t="shared" si="321"/>
        <v>1+0,0477760085781366i</v>
      </c>
      <c r="U376" s="4">
        <f t="shared" si="333"/>
        <v>1.00114062298743</v>
      </c>
      <c r="V376" s="4">
        <f t="shared" si="334"/>
        <v>0.0477397079516331</v>
      </c>
      <c r="W376" t="str">
        <f t="shared" si="322"/>
        <v>1-4,18040075058696i</v>
      </c>
      <c r="X376" s="4">
        <f t="shared" si="335"/>
        <v>4.29834275454018</v>
      </c>
      <c r="Y376" s="4">
        <f t="shared" si="336"/>
        <v>-1.33599702044066</v>
      </c>
      <c r="Z376" t="str">
        <f t="shared" si="323"/>
        <v>0,989721317185807+0,221817182684205i</v>
      </c>
      <c r="AA376" s="4">
        <f t="shared" si="337"/>
        <v>1.01427370478878</v>
      </c>
      <c r="AB376" s="4">
        <f t="shared" si="338"/>
        <v>0.220477497159567</v>
      </c>
      <c r="AC376" s="67" t="str">
        <f t="shared" si="339"/>
        <v>-0,910650376598226-0,0697214836449492i</v>
      </c>
      <c r="AD376" s="68">
        <f t="shared" si="340"/>
        <v>-0.787583482521279</v>
      </c>
      <c r="AE376" s="31">
        <f t="shared" si="341"/>
        <v>-175.621844842414</v>
      </c>
      <c r="AF376" s="32" t="str">
        <f t="shared" si="342"/>
        <v>75,4669735059805</v>
      </c>
      <c r="AG376" s="32" t="str">
        <f t="shared" si="324"/>
        <v>1+44,7900080420031i</v>
      </c>
      <c r="AH376" s="32">
        <f t="shared" si="343"/>
        <v>44.8011698552918</v>
      </c>
      <c r="AI376" s="32">
        <f t="shared" si="344"/>
        <v>1.54847362721931</v>
      </c>
      <c r="AJ376" s="32" t="str">
        <f t="shared" si="325"/>
        <v>1+0,0477760085781366i</v>
      </c>
      <c r="AK376" s="32">
        <f t="shared" si="345"/>
        <v>1.00114062298743</v>
      </c>
      <c r="AL376" s="32">
        <f t="shared" si="346"/>
        <v>0.0477397079516331</v>
      </c>
      <c r="AM376" s="32" t="str">
        <f t="shared" si="326"/>
        <v>1-0,534152014371632i</v>
      </c>
      <c r="AN376" s="32">
        <f t="shared" si="347"/>
        <v>1.13371882513138</v>
      </c>
      <c r="AO376" s="32">
        <f t="shared" si="348"/>
        <v>-0.490594491002953</v>
      </c>
      <c r="AP376" s="30" t="str">
        <f t="shared" si="349"/>
        <v>-0,780531094753654-1,74533113211267i</v>
      </c>
      <c r="AQ376" s="32">
        <f t="shared" si="350"/>
        <v>5.62936042196986</v>
      </c>
      <c r="AR376" s="31">
        <f t="shared" si="351"/>
        <v>-114.094713533003</v>
      </c>
      <c r="AS376" t="str">
        <f t="shared" si="327"/>
        <v>-0,000338461538461538</v>
      </c>
      <c r="AT376" t="str">
        <f t="shared" si="328"/>
        <v>0,0418169070281856i</v>
      </c>
      <c r="AU376">
        <f t="shared" si="352"/>
        <v>0.0418169070281856</v>
      </c>
      <c r="AV376">
        <f t="shared" si="353"/>
        <v>1.5707963267949</v>
      </c>
      <c r="AW376" t="str">
        <f t="shared" si="329"/>
        <v>1+6,78672920511487i</v>
      </c>
      <c r="AX376">
        <f t="shared" si="354"/>
        <v>6.86000680054759</v>
      </c>
      <c r="AY376">
        <f t="shared" si="355"/>
        <v>1.42450260858562</v>
      </c>
      <c r="AZ376" t="str">
        <f t="shared" si="330"/>
        <v>1+59,2422506368894i</v>
      </c>
      <c r="BA376">
        <f t="shared" si="356"/>
        <v>59.2506899582108</v>
      </c>
      <c r="BB376">
        <f t="shared" si="357"/>
        <v>1.55391808484601</v>
      </c>
      <c r="BC376" s="30" t="str">
        <f t="shared" si="358"/>
        <v>-0,00902193165765133+0,0693232992875722i</v>
      </c>
      <c r="BD376" s="32">
        <f t="shared" si="359"/>
        <v>-23.1094743469247</v>
      </c>
      <c r="BE376" s="31">
        <f t="shared" si="360"/>
        <v>97.4149605933957</v>
      </c>
      <c r="BF376" s="30" t="str">
        <f t="shared" si="361"/>
        <v>0,013049148739176-0,0625002661427444i</v>
      </c>
      <c r="BG376" s="68">
        <f t="shared" si="362"/>
        <v>-23.8970578294459</v>
      </c>
      <c r="BH376" s="31">
        <f t="shared" si="363"/>
        <v>-78.2068842490185</v>
      </c>
      <c r="BI376" s="30" t="str">
        <f t="shared" si="369"/>
        <v>0,128034010620903-0,0383627324909722i</v>
      </c>
      <c r="BJ376" s="68">
        <f t="shared" si="364"/>
        <v>-17.4801139249548</v>
      </c>
      <c r="BK376" s="31">
        <f t="shared" si="370"/>
        <v>-16.679752939607</v>
      </c>
      <c r="BL376" s="32">
        <f t="shared" si="365"/>
        <v>-23.8970578294459</v>
      </c>
      <c r="BM376" s="31">
        <f t="shared" si="366"/>
        <v>-78.2068842490185</v>
      </c>
      <c r="BO376">
        <f t="shared" si="367"/>
        <v>0</v>
      </c>
      <c r="BP376">
        <f t="shared" si="368"/>
        <v>0</v>
      </c>
    </row>
    <row r="377" spans="14:68">
      <c r="N377" s="7">
        <v>59</v>
      </c>
      <c r="O377" s="18">
        <f t="shared" si="318"/>
        <v>38904.5144994281</v>
      </c>
      <c r="P377" s="86" t="str">
        <f t="shared" si="319"/>
        <v>15</v>
      </c>
      <c r="Q377" s="4" t="str">
        <f t="shared" si="320"/>
        <v>1+71,2962465500139i</v>
      </c>
      <c r="R377" s="4">
        <f t="shared" si="331"/>
        <v>71.3032591970407</v>
      </c>
      <c r="S377" s="4">
        <f t="shared" si="332"/>
        <v>1.55677126264283</v>
      </c>
      <c r="T377" s="4" t="str">
        <f t="shared" si="321"/>
        <v>1+0,0488888547771524i</v>
      </c>
      <c r="U377" s="4">
        <f t="shared" si="333"/>
        <v>1.00119434682854</v>
      </c>
      <c r="V377" s="4">
        <f t="shared" si="334"/>
        <v>0.0488499604606827</v>
      </c>
      <c r="W377" t="str">
        <f t="shared" si="322"/>
        <v>1-4,27777479300084i</v>
      </c>
      <c r="X377" s="4">
        <f t="shared" si="335"/>
        <v>4.39310336546198</v>
      </c>
      <c r="Y377" s="4">
        <f t="shared" si="336"/>
        <v>-1.34115372985306</v>
      </c>
      <c r="Z377" t="str">
        <f t="shared" si="323"/>
        <v>0,989236897788898+0,226983968608207i</v>
      </c>
      <c r="AA377" s="4">
        <f t="shared" si="337"/>
        <v>1.0149440191223</v>
      </c>
      <c r="AB377" s="4">
        <f t="shared" si="338"/>
        <v>0.225549379535985</v>
      </c>
      <c r="AC377" s="67" t="str">
        <f t="shared" si="339"/>
        <v>-0,909609569492267-0,0610061801335196i</v>
      </c>
      <c r="AD377" s="68">
        <f t="shared" si="340"/>
        <v>-0.803408008914733</v>
      </c>
      <c r="AE377" s="31">
        <f t="shared" si="341"/>
        <v>-176.163002370924</v>
      </c>
      <c r="AF377" s="32" t="str">
        <f t="shared" si="342"/>
        <v>75,4669735059805</v>
      </c>
      <c r="AG377" s="32" t="str">
        <f t="shared" si="324"/>
        <v>1+45,8333013535804i</v>
      </c>
      <c r="AH377" s="32">
        <f t="shared" si="343"/>
        <v>45.8442091541354</v>
      </c>
      <c r="AI377" s="32">
        <f t="shared" si="344"/>
        <v>1.54898159083063</v>
      </c>
      <c r="AJ377" s="32" t="str">
        <f t="shared" si="325"/>
        <v>1+0,0488888547771524i</v>
      </c>
      <c r="AK377" s="32">
        <f t="shared" si="345"/>
        <v>1.00119434682854</v>
      </c>
      <c r="AL377" s="32">
        <f t="shared" si="346"/>
        <v>0.0488499604606827</v>
      </c>
      <c r="AM377" s="32" t="str">
        <f t="shared" si="326"/>
        <v>1-0,54659401311914i</v>
      </c>
      <c r="AN377" s="32">
        <f t="shared" si="347"/>
        <v>1.13963371974406</v>
      </c>
      <c r="AO377" s="32">
        <f t="shared" si="348"/>
        <v>-0.500224489448275</v>
      </c>
      <c r="AP377" s="30" t="str">
        <f t="shared" si="349"/>
        <v>-0,782240876689854-1,70762016596958i</v>
      </c>
      <c r="AQ377" s="32">
        <f t="shared" si="350"/>
        <v>5.475122556903</v>
      </c>
      <c r="AR377" s="31">
        <f t="shared" si="351"/>
        <v>-114.61196318875</v>
      </c>
      <c r="AS377" t="str">
        <f t="shared" si="327"/>
        <v>-0,000338461538461538</v>
      </c>
      <c r="AT377" t="str">
        <f t="shared" si="328"/>
        <v>0,0427909479207981i</v>
      </c>
      <c r="AU377">
        <f t="shared" si="352"/>
        <v>0.0427909479207981</v>
      </c>
      <c r="AV377">
        <f t="shared" si="353"/>
        <v>1.5707963267949</v>
      </c>
      <c r="AW377" t="str">
        <f t="shared" si="329"/>
        <v>1+6,94481243610118i</v>
      </c>
      <c r="AX377">
        <f t="shared" si="354"/>
        <v>7.01643925168782</v>
      </c>
      <c r="AY377">
        <f t="shared" si="355"/>
        <v>1.42778692710179</v>
      </c>
      <c r="AZ377" t="str">
        <f t="shared" si="330"/>
        <v>1+60,622179923669i</v>
      </c>
      <c r="BA377">
        <f t="shared" si="356"/>
        <v>60.6304271690188</v>
      </c>
      <c r="BB377">
        <f t="shared" si="357"/>
        <v>1.55430221004887</v>
      </c>
      <c r="BC377" s="30" t="str">
        <f t="shared" si="358"/>
        <v>-0,00862412587127326+0,0678025893411476i</v>
      </c>
      <c r="BD377" s="32">
        <f t="shared" si="359"/>
        <v>-23.3053744891094</v>
      </c>
      <c r="BE377" s="31">
        <f t="shared" si="360"/>
        <v>97.2487917567713</v>
      </c>
      <c r="BF377" s="30" t="str">
        <f t="shared" si="361"/>
        <v>0,0119809643998811-0,0611477591246652i</v>
      </c>
      <c r="BG377" s="68">
        <f t="shared" si="362"/>
        <v>-24.1087824980241</v>
      </c>
      <c r="BH377" s="31">
        <f t="shared" si="363"/>
        <v>-78.9142106141523</v>
      </c>
      <c r="BI377" s="30" t="str">
        <f t="shared" si="369"/>
        <v>0,122527212646126-0,0383112256764153i</v>
      </c>
      <c r="BJ377" s="68">
        <f t="shared" si="364"/>
        <v>-17.8302519322064</v>
      </c>
      <c r="BK377" s="31">
        <f t="shared" si="370"/>
        <v>-17.3631714319787</v>
      </c>
      <c r="BL377" s="32">
        <f t="shared" si="365"/>
        <v>-24.1087824980241</v>
      </c>
      <c r="BM377" s="31">
        <f t="shared" si="366"/>
        <v>-78.9142106141523</v>
      </c>
      <c r="BO377">
        <f t="shared" si="367"/>
        <v>0</v>
      </c>
      <c r="BP377">
        <f t="shared" si="368"/>
        <v>0</v>
      </c>
    </row>
    <row r="378" spans="14:68">
      <c r="N378" s="7">
        <v>60</v>
      </c>
      <c r="O378" s="18">
        <f t="shared" si="318"/>
        <v>39810.7170553497</v>
      </c>
      <c r="P378" s="86" t="str">
        <f t="shared" si="319"/>
        <v>15</v>
      </c>
      <c r="Q378" s="4" t="str">
        <f t="shared" si="320"/>
        <v>1+72,9569494705499i</v>
      </c>
      <c r="R378" s="4">
        <f t="shared" si="331"/>
        <v>72.9638025054093</v>
      </c>
      <c r="S378" s="4">
        <f t="shared" si="332"/>
        <v>1.55709047163442</v>
      </c>
      <c r="T378" s="4" t="str">
        <f t="shared" si="321"/>
        <v>1+0,0500276224940914i</v>
      </c>
      <c r="U378" s="4">
        <f t="shared" si="333"/>
        <v>1.00125059950664</v>
      </c>
      <c r="V378" s="4">
        <f t="shared" si="334"/>
        <v>0.049985949294042</v>
      </c>
      <c r="W378" t="str">
        <f t="shared" si="322"/>
        <v>1-4,377416968233i</v>
      </c>
      <c r="X378" s="4">
        <f t="shared" si="335"/>
        <v>4.49018700209403</v>
      </c>
      <c r="Y378" s="4">
        <f t="shared" si="336"/>
        <v>-1.34620510003698</v>
      </c>
      <c r="Z378" t="str">
        <f t="shared" si="323"/>
        <v>0,988729648409165+0,232271104436852i</v>
      </c>
      <c r="AA378" s="4">
        <f t="shared" si="337"/>
        <v>1.01564569786891</v>
      </c>
      <c r="AB378" s="4">
        <f t="shared" si="338"/>
        <v>0.230734933746649</v>
      </c>
      <c r="AC378" s="67" t="str">
        <f t="shared" si="339"/>
        <v>-0,908509017321504-0,0523407586591597i</v>
      </c>
      <c r="AD378" s="68">
        <f t="shared" si="340"/>
        <v>-0.819024316759162</v>
      </c>
      <c r="AE378" s="31">
        <f t="shared" si="341"/>
        <v>-176.702736896203</v>
      </c>
      <c r="AF378" s="32" t="str">
        <f t="shared" si="342"/>
        <v>75,4669735059805</v>
      </c>
      <c r="AG378" s="32" t="str">
        <f t="shared" si="324"/>
        <v>1+46,9008960882107i</v>
      </c>
      <c r="AH378" s="32">
        <f t="shared" si="343"/>
        <v>46.9115556539872</v>
      </c>
      <c r="AI378" s="32">
        <f t="shared" si="344"/>
        <v>1.54947800265851</v>
      </c>
      <c r="AJ378" s="32" t="str">
        <f t="shared" si="325"/>
        <v>1+0,0500276224940914i</v>
      </c>
      <c r="AK378" s="32">
        <f t="shared" si="345"/>
        <v>1.00125059950664</v>
      </c>
      <c r="AL378" s="32">
        <f t="shared" si="346"/>
        <v>0.049985949294042</v>
      </c>
      <c r="AM378" s="32" t="str">
        <f t="shared" si="326"/>
        <v>1-0,55932582324743i</v>
      </c>
      <c r="AN378" s="32">
        <f t="shared" si="347"/>
        <v>1.1457946485088</v>
      </c>
      <c r="AO378" s="32">
        <f t="shared" si="348"/>
        <v>-0.509974946069686</v>
      </c>
      <c r="AP378" s="30" t="str">
        <f t="shared" si="349"/>
        <v>-0,783873777345694-1,6708112453321i</v>
      </c>
      <c r="AQ378" s="32">
        <f t="shared" si="350"/>
        <v>5.32253354463708</v>
      </c>
      <c r="AR378" s="31">
        <f t="shared" si="351"/>
        <v>-115.133978138395</v>
      </c>
      <c r="AS378" t="str">
        <f t="shared" si="327"/>
        <v>-0,000338461538461538</v>
      </c>
      <c r="AT378" t="str">
        <f t="shared" si="328"/>
        <v>0,0437876771404034i</v>
      </c>
      <c r="AU378">
        <f t="shared" si="352"/>
        <v>0.0437876771404034</v>
      </c>
      <c r="AV378">
        <f t="shared" si="353"/>
        <v>1.5707963267949</v>
      </c>
      <c r="AW378" t="str">
        <f t="shared" si="329"/>
        <v>1+7,10657789856655i</v>
      </c>
      <c r="AX378">
        <f t="shared" si="354"/>
        <v>7.17659037624376</v>
      </c>
      <c r="AY378">
        <f t="shared" si="355"/>
        <v>1.43099948987776</v>
      </c>
      <c r="AZ378" t="str">
        <f t="shared" si="330"/>
        <v>1+62,0342518926733i</v>
      </c>
      <c r="BA378">
        <f t="shared" si="356"/>
        <v>62.0423114324704</v>
      </c>
      <c r="BB378">
        <f t="shared" si="357"/>
        <v>1.55467759619849</v>
      </c>
      <c r="BC378" s="30" t="str">
        <f t="shared" si="358"/>
        <v>-0,00824351264870177+0,0663127718580119i</v>
      </c>
      <c r="BD378" s="32">
        <f t="shared" si="359"/>
        <v>-23.5014554407071</v>
      </c>
      <c r="BE378" s="31">
        <f t="shared" si="360"/>
        <v>97.0862335103481</v>
      </c>
      <c r="BF378" s="30" t="str">
        <f t="shared" si="361"/>
        <v>0,0109601663635896-0,0598142794905381i</v>
      </c>
      <c r="BG378" s="68">
        <f t="shared" si="362"/>
        <v>-24.3204797574663</v>
      </c>
      <c r="BH378" s="31">
        <f t="shared" si="363"/>
        <v>-79.6165033858546</v>
      </c>
      <c r="BI378" s="30" t="str">
        <f t="shared" si="369"/>
        <v>0,117257998328043-0,0382074893281147i</v>
      </c>
      <c r="BJ378" s="68">
        <f t="shared" si="364"/>
        <v>-18.17892189607</v>
      </c>
      <c r="BK378" s="31">
        <f t="shared" si="370"/>
        <v>-18.0477446280466</v>
      </c>
      <c r="BL378" s="32">
        <f t="shared" si="365"/>
        <v>-24.3204797574663</v>
      </c>
      <c r="BM378" s="31">
        <f t="shared" si="366"/>
        <v>-79.6165033858546</v>
      </c>
      <c r="BO378">
        <f t="shared" si="367"/>
        <v>0</v>
      </c>
      <c r="BP378">
        <f t="shared" si="368"/>
        <v>0</v>
      </c>
    </row>
    <row r="379" spans="14:68">
      <c r="N379" s="7">
        <v>61</v>
      </c>
      <c r="O379" s="18">
        <f t="shared" si="318"/>
        <v>40738.0277804114</v>
      </c>
      <c r="P379" s="86" t="str">
        <f t="shared" si="319"/>
        <v>15</v>
      </c>
      <c r="Q379" s="4" t="str">
        <f t="shared" si="320"/>
        <v>1+74,6563351313949i</v>
      </c>
      <c r="R379" s="4">
        <f t="shared" si="331"/>
        <v>74.6630321862911</v>
      </c>
      <c r="S379" s="4">
        <f t="shared" si="332"/>
        <v>1.55740241724138</v>
      </c>
      <c r="T379" s="4" t="str">
        <f t="shared" si="321"/>
        <v>1+0,0511929155186708i</v>
      </c>
      <c r="U379" s="4">
        <f t="shared" si="333"/>
        <v>1.00130949990465</v>
      </c>
      <c r="V379" s="4">
        <f t="shared" si="334"/>
        <v>0.0511482650336836</v>
      </c>
      <c r="W379" t="str">
        <f t="shared" si="322"/>
        <v>1-4,4793801078837i</v>
      </c>
      <c r="X379" s="4">
        <f t="shared" si="335"/>
        <v>4.58964553652068</v>
      </c>
      <c r="Y379" s="4">
        <f t="shared" si="336"/>
        <v>-1.35115277769517</v>
      </c>
      <c r="Z379" t="str">
        <f t="shared" si="323"/>
        <v>0,988198493102666+0,237681393479542i</v>
      </c>
      <c r="AA379" s="4">
        <f t="shared" si="337"/>
        <v>1.01638019784761</v>
      </c>
      <c r="AB379" s="4">
        <f t="shared" si="338"/>
        <v>0.236036498551178</v>
      </c>
      <c r="AC379" s="67" t="str">
        <f t="shared" si="339"/>
        <v>-0,907346786514203-0,0437218373996634i</v>
      </c>
      <c r="AD379" s="68">
        <f t="shared" si="340"/>
        <v>-0.834461541194154</v>
      </c>
      <c r="AE379" s="31">
        <f t="shared" si="341"/>
        <v>-177.241252612896</v>
      </c>
      <c r="AF379" s="32" t="str">
        <f t="shared" si="342"/>
        <v>75,4669735059805</v>
      </c>
      <c r="AG379" s="32" t="str">
        <f t="shared" si="324"/>
        <v>1+47,9933582987539i</v>
      </c>
      <c r="AH379" s="32">
        <f t="shared" si="343"/>
        <v>48.0037752764568</v>
      </c>
      <c r="AI379" s="32">
        <f t="shared" si="344"/>
        <v>1.54996312492789</v>
      </c>
      <c r="AJ379" s="32" t="str">
        <f t="shared" si="325"/>
        <v>1+0,0511929155186708i</v>
      </c>
      <c r="AK379" s="32">
        <f t="shared" si="345"/>
        <v>1.00130949990465</v>
      </c>
      <c r="AL379" s="32">
        <f t="shared" si="346"/>
        <v>0.0511482650336836</v>
      </c>
      <c r="AM379" s="32" t="str">
        <f t="shared" si="326"/>
        <v>1-0,572354195330759i</v>
      </c>
      <c r="AN379" s="32">
        <f t="shared" si="347"/>
        <v>1.1522106252386</v>
      </c>
      <c r="AO379" s="32">
        <f t="shared" si="348"/>
        <v>-0.519843614037639</v>
      </c>
      <c r="AP379" s="30" t="str">
        <f t="shared" si="349"/>
        <v>-0,78543325065445-1,63488507750778i</v>
      </c>
      <c r="AQ379" s="32">
        <f t="shared" si="350"/>
        <v>5.17163503903345</v>
      </c>
      <c r="AR379" s="31">
        <f t="shared" si="351"/>
        <v>-115.660610834614</v>
      </c>
      <c r="AS379" t="str">
        <f t="shared" si="327"/>
        <v>-0,000338461538461538</v>
      </c>
      <c r="AT379" t="str">
        <f t="shared" si="328"/>
        <v>0,0448076231660271i</v>
      </c>
      <c r="AU379">
        <f t="shared" si="352"/>
        <v>0.0448076231660271</v>
      </c>
      <c r="AV379">
        <f t="shared" si="353"/>
        <v>1.5707963267949</v>
      </c>
      <c r="AW379" t="str">
        <f t="shared" si="329"/>
        <v>1+7,27211136270045i</v>
      </c>
      <c r="AX379">
        <f t="shared" si="354"/>
        <v>7.34054518898406</v>
      </c>
      <c r="AY379">
        <f t="shared" si="355"/>
        <v>1.43414173487458</v>
      </c>
      <c r="AZ379" t="str">
        <f t="shared" si="330"/>
        <v>1+63,4792152431518i</v>
      </c>
      <c r="BA379">
        <f t="shared" si="356"/>
        <v>63.4870913484497</v>
      </c>
      <c r="BB379">
        <f t="shared" si="357"/>
        <v>1.55504444190613</v>
      </c>
      <c r="BC379" s="30" t="str">
        <f t="shared" si="358"/>
        <v>-0,00787937902971346+0,0648533814975419i</v>
      </c>
      <c r="BD379" s="32">
        <f t="shared" si="359"/>
        <v>-23.697709384589</v>
      </c>
      <c r="BE379" s="31">
        <f t="shared" si="360"/>
        <v>96.9272148446145</v>
      </c>
      <c r="BF379" s="30" t="str">
        <f t="shared" si="361"/>
        <v>0,00998483824299177-0,0585000063676269i</v>
      </c>
      <c r="BG379" s="68">
        <f t="shared" si="362"/>
        <v>-24.5321709257831</v>
      </c>
      <c r="BH379" s="31">
        <f t="shared" si="363"/>
        <v>-80.314037768282</v>
      </c>
      <c r="BI379" s="30" t="str">
        <f t="shared" si="369"/>
        <v>0,112216551920697-0,0380561230498412i</v>
      </c>
      <c r="BJ379" s="68">
        <f t="shared" si="364"/>
        <v>-18.5260743455555</v>
      </c>
      <c r="BK379" s="31">
        <f t="shared" si="370"/>
        <v>-18.7333959899996</v>
      </c>
      <c r="BL379" s="32">
        <f t="shared" si="365"/>
        <v>-24.5321709257831</v>
      </c>
      <c r="BM379" s="31">
        <f t="shared" si="366"/>
        <v>-80.314037768282</v>
      </c>
      <c r="BO379">
        <f t="shared" si="367"/>
        <v>0</v>
      </c>
      <c r="BP379">
        <f t="shared" si="368"/>
        <v>0</v>
      </c>
    </row>
    <row r="380" spans="14:68">
      <c r="N380" s="7">
        <v>62</v>
      </c>
      <c r="O380" s="18">
        <f t="shared" si="318"/>
        <v>41686.9383470336</v>
      </c>
      <c r="P380" s="86" t="str">
        <f t="shared" si="319"/>
        <v>15</v>
      </c>
      <c r="Q380" s="4" t="str">
        <f t="shared" si="320"/>
        <v>1+76,39530456932i</v>
      </c>
      <c r="R380" s="4">
        <f t="shared" si="331"/>
        <v>76.4018491938459</v>
      </c>
      <c r="S380" s="4">
        <f t="shared" si="332"/>
        <v>1.55770726461843</v>
      </c>
      <c r="T380" s="4" t="str">
        <f t="shared" si="321"/>
        <v>1+0,0523853517046766i</v>
      </c>
      <c r="U380" s="4">
        <f t="shared" si="333"/>
        <v>1.00137117247963</v>
      </c>
      <c r="V380" s="4">
        <f t="shared" si="334"/>
        <v>0.0523375113855627</v>
      </c>
      <c r="W380" t="str">
        <f t="shared" si="322"/>
        <v>1-4,58371827415921i</v>
      </c>
      <c r="X380" s="4">
        <f t="shared" si="335"/>
        <v>4.69153207565088</v>
      </c>
      <c r="Y380" s="4">
        <f t="shared" si="336"/>
        <v>-1.35599841677989</v>
      </c>
      <c r="Z380" t="str">
        <f t="shared" si="323"/>
        <v>0,987642305217782+0,243217704343141i</v>
      </c>
      <c r="AA380" s="4">
        <f t="shared" si="337"/>
        <v>1.01714904255072</v>
      </c>
      <c r="AB380" s="4">
        <f t="shared" si="338"/>
        <v>0.241456446327704</v>
      </c>
      <c r="AC380" s="67" t="str">
        <f t="shared" si="339"/>
        <v>-0,906120849296289-0,0351461363564652i</v>
      </c>
      <c r="AD380" s="68">
        <f t="shared" si="340"/>
        <v>-0.84974862136872</v>
      </c>
      <c r="AE380" s="31">
        <f t="shared" si="341"/>
        <v>-177.778755085607</v>
      </c>
      <c r="AF380" s="32" t="str">
        <f t="shared" si="342"/>
        <v>75,4669735059805</v>
      </c>
      <c r="AG380" s="32" t="str">
        <f t="shared" si="324"/>
        <v>1+49,1112672231343i</v>
      </c>
      <c r="AH380" s="32">
        <f t="shared" si="343"/>
        <v>49.1214471311881</v>
      </c>
      <c r="AI380" s="32">
        <f t="shared" si="344"/>
        <v>1.55043721394311</v>
      </c>
      <c r="AJ380" s="32" t="str">
        <f t="shared" si="325"/>
        <v>1+0,0523853517046766i</v>
      </c>
      <c r="AK380" s="32">
        <f t="shared" si="345"/>
        <v>1.00137117247963</v>
      </c>
      <c r="AL380" s="32">
        <f t="shared" si="346"/>
        <v>0.0523375113855627</v>
      </c>
      <c r="AM380" s="32" t="str">
        <f t="shared" si="326"/>
        <v>1-0,585686037184457i</v>
      </c>
      <c r="AN380" s="32">
        <f t="shared" si="347"/>
        <v>1.15889090692473</v>
      </c>
      <c r="AO380" s="32">
        <f t="shared" si="348"/>
        <v>-0.529828036254217</v>
      </c>
      <c r="AP380" s="30" t="str">
        <f t="shared" si="349"/>
        <v>-0,786922595650085-1,59982282293i</v>
      </c>
      <c r="AQ380" s="32">
        <f t="shared" si="350"/>
        <v>5.02246841664442</v>
      </c>
      <c r="AR380" s="31">
        <f t="shared" si="351"/>
        <v>-116.191700591423</v>
      </c>
      <c r="AS380" t="str">
        <f t="shared" si="327"/>
        <v>-0,000338461538461538</v>
      </c>
      <c r="AT380" t="str">
        <f t="shared" si="328"/>
        <v>0,0458513267865523i</v>
      </c>
      <c r="AU380">
        <f t="shared" si="352"/>
        <v>0.0458513267865523</v>
      </c>
      <c r="AV380">
        <f t="shared" si="353"/>
        <v>1.5707963267949</v>
      </c>
      <c r="AW380" t="str">
        <f t="shared" si="329"/>
        <v>1+7,44150059653663i</v>
      </c>
      <c r="AX380">
        <f t="shared" si="354"/>
        <v>7.50839071494385</v>
      </c>
      <c r="AY380">
        <f t="shared" si="355"/>
        <v>1.43721507981705</v>
      </c>
      <c r="AZ380" t="str">
        <f t="shared" si="330"/>
        <v>1+64,957836113799i</v>
      </c>
      <c r="BA380">
        <f t="shared" si="356"/>
        <v>64.9655329585402</v>
      </c>
      <c r="BB380">
        <f t="shared" si="357"/>
        <v>1.55540294128308</v>
      </c>
      <c r="BC380" s="30" t="str">
        <f t="shared" si="358"/>
        <v>-0,00753103901466125+0,0634239487573965i</v>
      </c>
      <c r="BD380" s="32">
        <f t="shared" si="359"/>
        <v>-23.8941288280288</v>
      </c>
      <c r="BE380" s="31">
        <f t="shared" si="360"/>
        <v>96.7716656516802</v>
      </c>
      <c r="BF380" s="30" t="str">
        <f t="shared" si="361"/>
        <v>0,00905313821934126-0,0572050753896613i</v>
      </c>
      <c r="BG380" s="68">
        <f t="shared" si="362"/>
        <v>-24.7438774493976</v>
      </c>
      <c r="BH380" s="31">
        <f t="shared" si="363"/>
        <v>-81.0070894339269</v>
      </c>
      <c r="BI380" s="30" t="str">
        <f t="shared" si="369"/>
        <v>0,107393425511785-0,0378614102865171i</v>
      </c>
      <c r="BJ380" s="68">
        <f t="shared" si="364"/>
        <v>-18.8716604113844</v>
      </c>
      <c r="BK380" s="31">
        <f t="shared" si="370"/>
        <v>-19.4200349397424</v>
      </c>
      <c r="BL380" s="32">
        <f t="shared" si="365"/>
        <v>-24.7438774493976</v>
      </c>
      <c r="BM380" s="31">
        <f t="shared" si="366"/>
        <v>-81.0070894339269</v>
      </c>
      <c r="BO380">
        <f t="shared" si="367"/>
        <v>0</v>
      </c>
      <c r="BP380">
        <f t="shared" si="368"/>
        <v>0</v>
      </c>
    </row>
    <row r="381" spans="14:68">
      <c r="N381" s="7">
        <v>63</v>
      </c>
      <c r="O381" s="18">
        <f t="shared" si="318"/>
        <v>42657.9518801593</v>
      </c>
      <c r="P381" s="86" t="str">
        <f t="shared" si="319"/>
        <v>15</v>
      </c>
      <c r="Q381" s="4" t="str">
        <f t="shared" si="320"/>
        <v>1+78,174779808939i</v>
      </c>
      <c r="R381" s="4">
        <f t="shared" si="331"/>
        <v>78.1811754719517</v>
      </c>
      <c r="S381" s="4">
        <f t="shared" si="332"/>
        <v>1.55800517517291</v>
      </c>
      <c r="T381" s="4" t="str">
        <f t="shared" si="321"/>
        <v>1+0,0536055632975582i</v>
      </c>
      <c r="U381" s="4">
        <f t="shared" si="333"/>
        <v>1.00143574752275</v>
      </c>
      <c r="V381" s="4">
        <f t="shared" si="334"/>
        <v>0.0535543054405271</v>
      </c>
      <c r="W381" t="str">
        <f t="shared" si="322"/>
        <v>1-4,69048678853635i</v>
      </c>
      <c r="X381" s="4">
        <f t="shared" si="335"/>
        <v>4.79590099078724</v>
      </c>
      <c r="Y381" s="4">
        <f t="shared" si="336"/>
        <v>-1.36074367588384</v>
      </c>
      <c r="Z381" t="str">
        <f t="shared" si="323"/>
        <v>0,98705990500544+0,248882972452948i</v>
      </c>
      <c r="AA381" s="4">
        <f t="shared" si="337"/>
        <v>1.01795382510523</v>
      </c>
      <c r="AB381" s="4">
        <f t="shared" si="338"/>
        <v>0.246997182508546</v>
      </c>
      <c r="AC381" s="67" t="str">
        <f t="shared" si="339"/>
        <v>-0,904829082620331-0,0266104803529073i</v>
      </c>
      <c r="AD381" s="68">
        <f t="shared" si="340"/>
        <v>-0.864914334008361</v>
      </c>
      <c r="AE381" s="31">
        <f t="shared" si="341"/>
        <v>-178.315451057075</v>
      </c>
      <c r="AF381" s="32" t="str">
        <f t="shared" si="342"/>
        <v>75,4669735059805</v>
      </c>
      <c r="AG381" s="32" t="str">
        <f t="shared" si="324"/>
        <v>1+50,2552155914608i</v>
      </c>
      <c r="AH381" s="32">
        <f t="shared" si="343"/>
        <v>50.2651638229122</v>
      </c>
      <c r="AI381" s="32">
        <f t="shared" si="344"/>
        <v>1.55090052021952</v>
      </c>
      <c r="AJ381" s="32" t="str">
        <f t="shared" si="325"/>
        <v>1+0,0536055632975582i</v>
      </c>
      <c r="AK381" s="32">
        <f t="shared" si="345"/>
        <v>1.00143574752275</v>
      </c>
      <c r="AL381" s="32">
        <f t="shared" si="346"/>
        <v>0.0535543054405271</v>
      </c>
      <c r="AM381" s="32" t="str">
        <f t="shared" si="326"/>
        <v>1-0,59932841752754i</v>
      </c>
      <c r="AN381" s="32">
        <f t="shared" si="347"/>
        <v>1.16584499486684</v>
      </c>
      <c r="AO381" s="32">
        <f t="shared" si="348"/>
        <v>-0.539925543316511</v>
      </c>
      <c r="AP381" s="30" t="str">
        <f t="shared" si="349"/>
        <v>-0,788344963390256-1,56560608616249i</v>
      </c>
      <c r="AQ381" s="32">
        <f t="shared" si="350"/>
        <v>4.87507467691672</v>
      </c>
      <c r="AR381" s="31">
        <f t="shared" si="351"/>
        <v>-116.72707346007</v>
      </c>
      <c r="AS381" t="str">
        <f t="shared" si="327"/>
        <v>-0,000338461538461538</v>
      </c>
      <c r="AT381" t="str">
        <f t="shared" si="328"/>
        <v>0,0469193413874537i</v>
      </c>
      <c r="AU381">
        <f t="shared" si="352"/>
        <v>0.0469193413874537</v>
      </c>
      <c r="AV381">
        <f t="shared" si="353"/>
        <v>1.5707963267949</v>
      </c>
      <c r="AW381" t="str">
        <f t="shared" si="329"/>
        <v>1+7,61483541248898i</v>
      </c>
      <c r="AX381">
        <f t="shared" si="354"/>
        <v>7.68021603597817</v>
      </c>
      <c r="AY381">
        <f t="shared" si="355"/>
        <v>1.44022092187792</v>
      </c>
      <c r="AZ381" t="str">
        <f t="shared" si="330"/>
        <v>1+66,4708984889722i</v>
      </c>
      <c r="BA381">
        <f t="shared" si="356"/>
        <v>66.4784201521911</v>
      </c>
      <c r="BB381">
        <f t="shared" si="357"/>
        <v>1.55575328404164</v>
      </c>
      <c r="BC381" s="30" t="str">
        <f t="shared" si="358"/>
        <v>-0,00719783277417409+0,0620240009362183i</v>
      </c>
      <c r="BD381" s="32">
        <f t="shared" si="359"/>
        <v>-24.090706590417</v>
      </c>
      <c r="BE381" s="31">
        <f t="shared" si="360"/>
        <v>96.6195167491582</v>
      </c>
      <c r="BF381" s="30" t="str">
        <f t="shared" si="361"/>
        <v>0,00816329688423243-0,0559295820799403i</v>
      </c>
      <c r="BG381" s="68">
        <f t="shared" si="362"/>
        <v>-24.9556209244253</v>
      </c>
      <c r="BH381" s="31">
        <f t="shared" si="363"/>
        <v>-81.6959343079168</v>
      </c>
      <c r="BI381" s="30" t="str">
        <f t="shared" si="369"/>
        <v>0,102779528568737-0,0376273379489534i</v>
      </c>
      <c r="BJ381" s="68">
        <f t="shared" si="364"/>
        <v>-19.2156319135003</v>
      </c>
      <c r="BK381" s="31">
        <f t="shared" si="370"/>
        <v>-20.1075567109116</v>
      </c>
      <c r="BL381" s="32">
        <f t="shared" si="365"/>
        <v>-24.9556209244253</v>
      </c>
      <c r="BM381" s="31">
        <f t="shared" si="366"/>
        <v>-81.6959343079168</v>
      </c>
      <c r="BO381">
        <f t="shared" si="367"/>
        <v>0</v>
      </c>
      <c r="BP381">
        <f t="shared" si="368"/>
        <v>0</v>
      </c>
    </row>
    <row r="382" spans="14:68">
      <c r="N382" s="7">
        <v>64</v>
      </c>
      <c r="O382" s="18">
        <f t="shared" si="318"/>
        <v>43651.5832240166</v>
      </c>
      <c r="P382" s="86" t="str">
        <f t="shared" si="319"/>
        <v>15</v>
      </c>
      <c r="Q382" s="4" t="str">
        <f t="shared" si="320"/>
        <v>1+79,9957043515781i</v>
      </c>
      <c r="R382" s="4">
        <f t="shared" si="331"/>
        <v>80.0019544430328</v>
      </c>
      <c r="S382" s="4">
        <f t="shared" si="332"/>
        <v>1.5582963066493</v>
      </c>
      <c r="T382" s="4" t="str">
        <f t="shared" si="321"/>
        <v>1+0,0548541972696536i</v>
      </c>
      <c r="U382" s="4">
        <f t="shared" si="333"/>
        <v>1.00150336143125</v>
      </c>
      <c r="V382" s="4">
        <f t="shared" si="334"/>
        <v>0.0547992779381543</v>
      </c>
      <c r="W382" t="str">
        <f t="shared" si="322"/>
        <v>1-4,79974226109469i</v>
      </c>
      <c r="X382" s="4">
        <f t="shared" si="335"/>
        <v>4.90280794779261</v>
      </c>
      <c r="Y382" s="4">
        <f t="shared" si="336"/>
        <v>-1.36539021580106</v>
      </c>
      <c r="Z382" t="str">
        <f t="shared" si="323"/>
        <v>0,986450057116706+0,254680201609105i</v>
      </c>
      <c r="AA382" s="4">
        <f t="shared" si="337"/>
        <v>1.0187962113579</v>
      </c>
      <c r="AB382" s="4">
        <f t="shared" si="338"/>
        <v>0.252661144922824</v>
      </c>
      <c r="AC382" s="67" t="str">
        <f t="shared" si="339"/>
        <v>-0,903469267163333-0,0181118023198911i</v>
      </c>
      <c r="AD382" s="68">
        <f t="shared" si="340"/>
        <v>-0.879987327592846</v>
      </c>
      <c r="AE382" s="31">
        <f t="shared" si="341"/>
        <v>-178.851548260487</v>
      </c>
      <c r="AF382" s="32" t="str">
        <f t="shared" si="342"/>
        <v>75,4669735059805</v>
      </c>
      <c r="AG382" s="32" t="str">
        <f t="shared" si="324"/>
        <v>1+51,4258099403003i</v>
      </c>
      <c r="AH382" s="32">
        <f t="shared" si="343"/>
        <v>51.4355317656568</v>
      </c>
      <c r="AI382" s="32">
        <f t="shared" si="344"/>
        <v>1.55135328861218</v>
      </c>
      <c r="AJ382" s="32" t="str">
        <f t="shared" si="325"/>
        <v>1+0,0548541972696536i</v>
      </c>
      <c r="AK382" s="32">
        <f t="shared" si="345"/>
        <v>1.00150336143125</v>
      </c>
      <c r="AL382" s="32">
        <f t="shared" si="346"/>
        <v>0.0547992779381543</v>
      </c>
      <c r="AM382" s="32" t="str">
        <f t="shared" si="326"/>
        <v>1-0,613288569730644i</v>
      </c>
      <c r="AN382" s="32">
        <f t="shared" si="347"/>
        <v>1.17308263552158</v>
      </c>
      <c r="AO382" s="32">
        <f t="shared" si="348"/>
        <v>-0.550133252218766</v>
      </c>
      <c r="AP382" s="30" t="str">
        <f t="shared" si="349"/>
        <v>-0,789703363571991-1,53221690707335i</v>
      </c>
      <c r="AQ382" s="32">
        <f t="shared" si="350"/>
        <v>4.72949433917641</v>
      </c>
      <c r="AR382" s="31">
        <f t="shared" si="351"/>
        <v>-117.266542146939</v>
      </c>
      <c r="AS382" t="str">
        <f t="shared" si="327"/>
        <v>-0,000338461538461538</v>
      </c>
      <c r="AT382" t="str">
        <f t="shared" si="328"/>
        <v>0,0480122332442097i</v>
      </c>
      <c r="AU382">
        <f t="shared" si="352"/>
        <v>0.0480122332442097</v>
      </c>
      <c r="AV382">
        <f t="shared" si="353"/>
        <v>1.5707963267949</v>
      </c>
      <c r="AW382" t="str">
        <f t="shared" si="329"/>
        <v>1+7,79220771497129i</v>
      </c>
      <c r="AX382">
        <f t="shared" si="354"/>
        <v>7.85611233838074</v>
      </c>
      <c r="AY382">
        <f t="shared" si="355"/>
        <v>1.44316063741508</v>
      </c>
      <c r="AZ382" t="str">
        <f t="shared" si="330"/>
        <v>1+68,0192046143704i</v>
      </c>
      <c r="BA382">
        <f t="shared" si="356"/>
        <v>68.026555082347</v>
      </c>
      <c r="BB382">
        <f t="shared" si="357"/>
        <v>1.55609565559397</v>
      </c>
      <c r="BC382" s="30" t="str">
        <f t="shared" si="358"/>
        <v>-0,00687912586066846+0,0606530630284422i</v>
      </c>
      <c r="BD382" s="32">
        <f t="shared" si="359"/>
        <v>-24.2874357913357</v>
      </c>
      <c r="BE382" s="31">
        <f t="shared" si="360"/>
        <v>96.4706999008836</v>
      </c>
      <c r="BF382" s="30" t="str">
        <f t="shared" si="361"/>
        <v>0,00731361508772951-0,054673585037796i</v>
      </c>
      <c r="BG382" s="68">
        <f t="shared" si="362"/>
        <v>-25.1674231189285</v>
      </c>
      <c r="BH382" s="31">
        <f t="shared" si="363"/>
        <v>-82.3808483596031</v>
      </c>
      <c r="BI382" s="30" t="str">
        <f t="shared" si="369"/>
        <v>0,0983661174685696-0,037357614934903i</v>
      </c>
      <c r="BJ382" s="68">
        <f t="shared" si="364"/>
        <v>-19.5579414521592</v>
      </c>
      <c r="BK382" s="31">
        <f t="shared" si="370"/>
        <v>-20.7958422460559</v>
      </c>
      <c r="BL382" s="32">
        <f t="shared" si="365"/>
        <v>-25.1674231189285</v>
      </c>
      <c r="BM382" s="31">
        <f t="shared" si="366"/>
        <v>-82.3808483596031</v>
      </c>
      <c r="BO382">
        <f t="shared" si="367"/>
        <v>0</v>
      </c>
      <c r="BP382">
        <f t="shared" si="368"/>
        <v>0</v>
      </c>
    </row>
    <row r="383" spans="14:68">
      <c r="N383" s="7">
        <v>65</v>
      </c>
      <c r="O383" s="18">
        <f t="shared" si="318"/>
        <v>44668.3592150964</v>
      </c>
      <c r="P383" s="86" t="str">
        <f t="shared" si="319"/>
        <v>15</v>
      </c>
      <c r="Q383" s="4" t="str">
        <f t="shared" si="320"/>
        <v>1+81,8590436755332i</v>
      </c>
      <c r="R383" s="4">
        <f t="shared" si="331"/>
        <v>81.8651515082752</v>
      </c>
      <c r="S383" s="4">
        <f t="shared" si="332"/>
        <v>1.55858081321184</v>
      </c>
      <c r="T383" s="4" t="str">
        <f t="shared" si="321"/>
        <v>1+0,0561319156632228i</v>
      </c>
      <c r="U383" s="4">
        <f t="shared" si="333"/>
        <v>1.00157415699289</v>
      </c>
      <c r="V383" s="4">
        <f t="shared" si="334"/>
        <v>0.0560730735333672</v>
      </c>
      <c r="W383" t="str">
        <f t="shared" si="322"/>
        <v>1-4,911542620532i</v>
      </c>
      <c r="X383" s="4">
        <f t="shared" si="335"/>
        <v>5.01230993787319</v>
      </c>
      <c r="Y383" s="4">
        <f t="shared" si="336"/>
        <v>-1.36993969725142</v>
      </c>
      <c r="Z383" t="str">
        <f t="shared" si="323"/>
        <v>0,985811467982443+0,260612465579248i</v>
      </c>
      <c r="AA383" s="4">
        <f t="shared" si="337"/>
        <v>1.0196779430884</v>
      </c>
      <c r="AB383" s="4">
        <f t="shared" si="338"/>
        <v>0.258450803039907</v>
      </c>
      <c r="AC383" s="67" t="str">
        <f t="shared" si="339"/>
        <v>-0,902039086411682-0,00964714687724239i</v>
      </c>
      <c r="AD383" s="68">
        <f t="shared" si="340"/>
        <v>-0.894996157056791</v>
      </c>
      <c r="AE383" s="31">
        <f t="shared" si="341"/>
        <v>-179.387255235207</v>
      </c>
      <c r="AF383" s="32" t="str">
        <f t="shared" si="342"/>
        <v>75,4669735059805</v>
      </c>
      <c r="AG383" s="32" t="str">
        <f t="shared" si="324"/>
        <v>1+52,6236709342714i</v>
      </c>
      <c r="AH383" s="32">
        <f t="shared" si="343"/>
        <v>52.6331715042755</v>
      </c>
      <c r="AI383" s="32">
        <f t="shared" si="344"/>
        <v>1.55179575844192</v>
      </c>
      <c r="AJ383" s="32" t="str">
        <f t="shared" si="325"/>
        <v>1+0,0561319156632228i</v>
      </c>
      <c r="AK383" s="32">
        <f t="shared" si="345"/>
        <v>1.00157415699289</v>
      </c>
      <c r="AL383" s="32">
        <f t="shared" si="346"/>
        <v>0.0560730735333672</v>
      </c>
      <c r="AM383" s="32" t="str">
        <f t="shared" si="326"/>
        <v>1-0,627573895651257i</v>
      </c>
      <c r="AN383" s="32">
        <f t="shared" si="347"/>
        <v>1.18061382107059</v>
      </c>
      <c r="AO383" s="32">
        <f t="shared" si="348"/>
        <v>-0.56044806584211</v>
      </c>
      <c r="AP383" s="30" t="str">
        <f t="shared" si="349"/>
        <v>-0,791000670853525-1,49963775217815i</v>
      </c>
      <c r="AQ383" s="32">
        <f t="shared" si="350"/>
        <v>4.58576733683653</v>
      </c>
      <c r="AR383" s="31">
        <f t="shared" si="351"/>
        <v>-117.809905976259</v>
      </c>
      <c r="AS383" t="str">
        <f t="shared" si="327"/>
        <v>-0,000338461538461538</v>
      </c>
      <c r="AT383" t="str">
        <f t="shared" si="328"/>
        <v>0,0491305818225489i</v>
      </c>
      <c r="AU383">
        <f t="shared" si="352"/>
        <v>0.0491305818225489</v>
      </c>
      <c r="AV383">
        <f t="shared" si="353"/>
        <v>1.5707963267949</v>
      </c>
      <c r="AW383" t="str">
        <f t="shared" si="329"/>
        <v>1+7,97371154912617i</v>
      </c>
      <c r="AX383">
        <f t="shared" si="354"/>
        <v>8.03617296159485</v>
      </c>
      <c r="AY383">
        <f t="shared" si="355"/>
        <v>1.4460355817582</v>
      </c>
      <c r="AZ383" t="str">
        <f t="shared" si="330"/>
        <v>1+69,6035754223963i</v>
      </c>
      <c r="BA383">
        <f t="shared" si="356"/>
        <v>69.610758590761</v>
      </c>
      <c r="BB383">
        <f t="shared" si="357"/>
        <v>1.55643023714876</v>
      </c>
      <c r="BC383" s="30" t="str">
        <f t="shared" si="358"/>
        <v>-0,00657430842413629+0,0593106585546389i</v>
      </c>
      <c r="BD383" s="32">
        <f t="shared" si="359"/>
        <v>-24.4843098389946</v>
      </c>
      <c r="BE383" s="31">
        <f t="shared" si="360"/>
        <v>96.3251478346804</v>
      </c>
      <c r="BF383" s="30" t="str">
        <f t="shared" si="361"/>
        <v>0,0065024617991591-0,0534371089381177i</v>
      </c>
      <c r="BG383" s="68">
        <f t="shared" si="362"/>
        <v>-25.3793059960514</v>
      </c>
      <c r="BH383" s="31">
        <f t="shared" si="363"/>
        <v>-83.0621074005266</v>
      </c>
      <c r="BI383" s="30" t="str">
        <f t="shared" si="369"/>
        <v>0,0941447850489742-0,0370556895981861i</v>
      </c>
      <c r="BJ383" s="68">
        <f t="shared" si="364"/>
        <v>-19.898542502158</v>
      </c>
      <c r="BK383" s="31">
        <f t="shared" si="370"/>
        <v>-21.4847581415788</v>
      </c>
      <c r="BL383" s="32">
        <f t="shared" si="365"/>
        <v>-25.3793059960514</v>
      </c>
      <c r="BM383" s="31">
        <f t="shared" si="366"/>
        <v>-83.0621074005266</v>
      </c>
      <c r="BO383">
        <f t="shared" si="367"/>
        <v>0</v>
      </c>
      <c r="BP383">
        <f t="shared" si="368"/>
        <v>0</v>
      </c>
    </row>
    <row r="384" spans="14:68">
      <c r="N384" s="7">
        <v>66</v>
      </c>
      <c r="O384" s="18">
        <f t="shared" ref="O384:O418" si="371">10^(4+(N384/100))</f>
        <v>45708.8189614876</v>
      </c>
      <c r="P384" s="86" t="str">
        <f t="shared" si="319"/>
        <v>15</v>
      </c>
      <c r="Q384" s="4" t="str">
        <f t="shared" si="320"/>
        <v>1+83,7657857479771i</v>
      </c>
      <c r="R384" s="4">
        <f t="shared" si="331"/>
        <v>83.7717545594934</v>
      </c>
      <c r="S384" s="4">
        <f t="shared" si="332"/>
        <v>1.55885884552535</v>
      </c>
      <c r="T384" s="4" t="str">
        <f t="shared" si="321"/>
        <v>1+0,05743939594147i</v>
      </c>
      <c r="U384" s="4">
        <f t="shared" si="333"/>
        <v>1.00164828368351</v>
      </c>
      <c r="V384" s="4">
        <f t="shared" si="334"/>
        <v>0.0573763510656562</v>
      </c>
      <c r="W384" t="str">
        <f t="shared" si="322"/>
        <v>1-5,02594714487863i</v>
      </c>
      <c r="X384" s="4">
        <f t="shared" si="335"/>
        <v>5.12446530899699</v>
      </c>
      <c r="Y384" s="4">
        <f t="shared" si="336"/>
        <v>-1.37439377876204</v>
      </c>
      <c r="Z384" t="str">
        <f t="shared" si="323"/>
        <v>0,985142783069482+0,266682909728253i</v>
      </c>
      <c r="AA384" s="4">
        <f t="shared" si="337"/>
        <v>1.02060084135523</v>
      </c>
      <c r="AB384" s="4">
        <f t="shared" si="338"/>
        <v>0.264368657107402</v>
      </c>
      <c r="AC384" s="67" t="str">
        <f t="shared" si="339"/>
        <v>-0,900536125853109-0,00121367421870152i</v>
      </c>
      <c r="AD384" s="68">
        <f t="shared" si="340"/>
        <v>-0.909969318928058</v>
      </c>
      <c r="AE384" s="31">
        <f t="shared" si="341"/>
        <v>-179.922781145212</v>
      </c>
      <c r="AF384" s="32" t="str">
        <f t="shared" si="342"/>
        <v>75,4669735059805</v>
      </c>
      <c r="AG384" s="32" t="str">
        <f t="shared" si="324"/>
        <v>1+53,8494336951282i</v>
      </c>
      <c r="AH384" s="32">
        <f t="shared" si="343"/>
        <v>53.8587180434701</v>
      </c>
      <c r="AI384" s="32">
        <f t="shared" si="344"/>
        <v>1.5522281636187</v>
      </c>
      <c r="AJ384" s="32" t="str">
        <f t="shared" si="325"/>
        <v>1+0,05743939594147i</v>
      </c>
      <c r="AK384" s="32">
        <f t="shared" si="345"/>
        <v>1.00164828368351</v>
      </c>
      <c r="AL384" s="32">
        <f t="shared" si="346"/>
        <v>0.0573763510656562</v>
      </c>
      <c r="AM384" s="32" t="str">
        <f t="shared" si="326"/>
        <v>1-0,642191969558262i</v>
      </c>
      <c r="AN384" s="32">
        <f t="shared" si="347"/>
        <v>1.18844878971082</v>
      </c>
      <c r="AO384" s="32">
        <f t="shared" si="348"/>
        <v>-0.570866673277275</v>
      </c>
      <c r="AP384" s="30" t="str">
        <f t="shared" si="349"/>
        <v>-0,792239630895139-1,46785150615177i</v>
      </c>
      <c r="AQ384" s="32">
        <f t="shared" si="350"/>
        <v>4.44393290932163</v>
      </c>
      <c r="AR384" s="31">
        <f t="shared" si="351"/>
        <v>-118.356950900232</v>
      </c>
      <c r="AS384" t="str">
        <f t="shared" si="327"/>
        <v>-0,000338461538461538</v>
      </c>
      <c r="AT384" t="str">
        <f t="shared" si="328"/>
        <v>0,0502749800856905i</v>
      </c>
      <c r="AU384">
        <f t="shared" si="352"/>
        <v>0.0502749800856905</v>
      </c>
      <c r="AV384">
        <f t="shared" si="353"/>
        <v>1.5707963267949</v>
      </c>
      <c r="AW384" t="str">
        <f t="shared" si="329"/>
        <v>1+8,1594431506889i</v>
      </c>
      <c r="AX384">
        <f t="shared" si="354"/>
        <v>8.22049344804337</v>
      </c>
      <c r="AY384">
        <f t="shared" si="355"/>
        <v>1.44884708904113</v>
      </c>
      <c r="AZ384" t="str">
        <f t="shared" si="330"/>
        <v>1+71,2248509674228i</v>
      </c>
      <c r="BA384">
        <f t="shared" si="356"/>
        <v>71.2318706432141</v>
      </c>
      <c r="BB384">
        <f t="shared" si="357"/>
        <v>1.55675720580577</v>
      </c>
      <c r="BC384" s="30" t="str">
        <f t="shared" si="358"/>
        <v>-0,00628279443439031+0,0579963103307107i</v>
      </c>
      <c r="BD384" s="32">
        <f t="shared" si="359"/>
        <v>-24.6813224190263</v>
      </c>
      <c r="BE384" s="31">
        <f t="shared" si="360"/>
        <v>96.1827942573779</v>
      </c>
      <c r="BF384" s="30" t="str">
        <f t="shared" si="361"/>
        <v>0,00572827198610552-0,0522201473533664i</v>
      </c>
      <c r="BG384" s="68">
        <f t="shared" si="362"/>
        <v>-25.5912917379544</v>
      </c>
      <c r="BH384" s="31">
        <f t="shared" si="363"/>
        <v>-83.7399868878345</v>
      </c>
      <c r="BI384" s="30" t="str">
        <f t="shared" si="369"/>
        <v>0,0901074502138706-0,0367247662163204i</v>
      </c>
      <c r="BJ384" s="68">
        <f t="shared" si="364"/>
        <v>-20.2373895097047</v>
      </c>
      <c r="BK384" s="31">
        <f t="shared" si="370"/>
        <v>-22.174156642854</v>
      </c>
      <c r="BL384" s="32">
        <f t="shared" si="365"/>
        <v>-25.5912917379544</v>
      </c>
      <c r="BM384" s="31">
        <f t="shared" si="366"/>
        <v>-83.7399868878345</v>
      </c>
      <c r="BO384">
        <f t="shared" si="367"/>
        <v>0</v>
      </c>
      <c r="BP384">
        <f t="shared" si="368"/>
        <v>0</v>
      </c>
    </row>
    <row r="385" spans="14:68">
      <c r="N385" s="7">
        <v>67</v>
      </c>
      <c r="O385" s="18">
        <f t="shared" si="371"/>
        <v>46773.5141287199</v>
      </c>
      <c r="P385" s="86" t="str">
        <f t="shared" si="319"/>
        <v>15</v>
      </c>
      <c r="Q385" s="4" t="str">
        <f t="shared" si="320"/>
        <v>1+85,7169415487962i</v>
      </c>
      <c r="R385" s="4">
        <f t="shared" si="331"/>
        <v>85.7227745029274</v>
      </c>
      <c r="S385" s="4">
        <f t="shared" si="332"/>
        <v>1.55913055083419</v>
      </c>
      <c r="T385" s="4" t="str">
        <f t="shared" si="321"/>
        <v>1+0,058777331347746i</v>
      </c>
      <c r="U385" s="4">
        <f t="shared" si="333"/>
        <v>1.00172589797827</v>
      </c>
      <c r="V385" s="4">
        <f t="shared" si="334"/>
        <v>0.0587097838307248</v>
      </c>
      <c r="W385" t="str">
        <f t="shared" si="322"/>
        <v>1-5,14301649292778i</v>
      </c>
      <c r="X385" s="4">
        <f t="shared" si="335"/>
        <v>5.23933379796775</v>
      </c>
      <c r="Y385" s="4">
        <f t="shared" si="336"/>
        <v>-1.37875411469941</v>
      </c>
      <c r="Z385" t="str">
        <f t="shared" si="323"/>
        <v>0,98444258400747+0,272894752685963i</v>
      </c>
      <c r="AA385" s="4">
        <f t="shared" si="337"/>
        <v>1.02156680997908</v>
      </c>
      <c r="AB385" s="4">
        <f t="shared" si="338"/>
        <v>0.270417237177172</v>
      </c>
      <c r="AC385" s="67" t="str">
        <f t="shared" si="339"/>
        <v>-0,898957872297054+0,00719133569214288i</v>
      </c>
      <c r="AD385" s="68">
        <f t="shared" si="340"/>
        <v>-0.92493528682168</v>
      </c>
      <c r="AE385" s="31">
        <f t="shared" si="341"/>
        <v>179.541664400507</v>
      </c>
      <c r="AF385" s="32" t="str">
        <f t="shared" si="342"/>
        <v>75,4669735059805</v>
      </c>
      <c r="AG385" s="32" t="str">
        <f t="shared" si="324"/>
        <v>1+55,1037481385119i</v>
      </c>
      <c r="AH385" s="32">
        <f t="shared" si="343"/>
        <v>55.1128211844808</v>
      </c>
      <c r="AI385" s="32">
        <f t="shared" si="344"/>
        <v>1.55265073276229</v>
      </c>
      <c r="AJ385" s="32" t="str">
        <f t="shared" si="325"/>
        <v>1+0,058777331347746i</v>
      </c>
      <c r="AK385" s="32">
        <f t="shared" si="345"/>
        <v>1.00172589797827</v>
      </c>
      <c r="AL385" s="32">
        <f t="shared" si="346"/>
        <v>0.0587097838307248</v>
      </c>
      <c r="AM385" s="32" t="str">
        <f t="shared" si="326"/>
        <v>1-0,657150542147947i</v>
      </c>
      <c r="AN385" s="32">
        <f t="shared" si="347"/>
        <v>1.19659802567334</v>
      </c>
      <c r="AO385" s="32">
        <f t="shared" si="348"/>
        <v>-0.581385551021565</v>
      </c>
      <c r="AP385" s="30" t="str">
        <f t="shared" si="349"/>
        <v>-0,793422866131371-1,43684146350798i</v>
      </c>
      <c r="AQ385" s="32">
        <f t="shared" si="350"/>
        <v>4.30402949225252</v>
      </c>
      <c r="AR385" s="31">
        <f t="shared" si="351"/>
        <v>-118.907449558971</v>
      </c>
      <c r="AS385" t="str">
        <f t="shared" si="327"/>
        <v>-0,000338461538461538</v>
      </c>
      <c r="AT385" t="str">
        <f t="shared" si="328"/>
        <v>0,0514460348087416i</v>
      </c>
      <c r="AU385">
        <f t="shared" si="352"/>
        <v>0.0514460348087416</v>
      </c>
      <c r="AV385">
        <f t="shared" si="353"/>
        <v>1.5707963267949</v>
      </c>
      <c r="AW385" t="str">
        <f t="shared" si="329"/>
        <v>1+8,34950099701317i</v>
      </c>
      <c r="AX385">
        <f t="shared" si="354"/>
        <v>8.40917159410628</v>
      </c>
      <c r="AY385">
        <f t="shared" si="355"/>
        <v>1.45159647207702</v>
      </c>
      <c r="AZ385" t="str">
        <f t="shared" si="330"/>
        <v>1+72,883890871205i</v>
      </c>
      <c r="BA385">
        <f t="shared" si="356"/>
        <v>72.8907507748803</v>
      </c>
      <c r="BB385">
        <f t="shared" si="357"/>
        <v>1.5570767346483</v>
      </c>
      <c r="BC385" s="30" t="str">
        <f t="shared" si="358"/>
        <v>-0,00600402091168531+0,0567095411791953i</v>
      </c>
      <c r="BD385" s="32">
        <f t="shared" si="359"/>
        <v>-24.8784674836362</v>
      </c>
      <c r="BE385" s="31">
        <f t="shared" si="360"/>
        <v>96.0435738672663</v>
      </c>
      <c r="BF385" s="30" t="str">
        <f t="shared" si="361"/>
        <v>0,00498954451642865-0,0510226654072701i</v>
      </c>
      <c r="BG385" s="68">
        <f t="shared" si="362"/>
        <v>-25.8034027704579</v>
      </c>
      <c r="BH385" s="31">
        <f t="shared" si="363"/>
        <v>-84.4147617322262</v>
      </c>
      <c r="BI385" s="30" t="str">
        <f t="shared" si="369"/>
        <v>0,0862463476228431-0,0363678205057137i</v>
      </c>
      <c r="BJ385" s="68">
        <f t="shared" si="364"/>
        <v>-20.5744379913837</v>
      </c>
      <c r="BK385" s="31">
        <f t="shared" si="370"/>
        <v>-22.8638756917051</v>
      </c>
      <c r="BL385" s="32">
        <f t="shared" si="365"/>
        <v>-25.8034027704579</v>
      </c>
      <c r="BM385" s="31">
        <f t="shared" si="366"/>
        <v>-84.4147617322262</v>
      </c>
      <c r="BO385">
        <f t="shared" si="367"/>
        <v>0</v>
      </c>
      <c r="BP385">
        <f t="shared" si="368"/>
        <v>0</v>
      </c>
    </row>
    <row r="386" spans="14:68">
      <c r="N386" s="7">
        <v>68</v>
      </c>
      <c r="O386" s="18">
        <f t="shared" si="371"/>
        <v>47863.0092322638</v>
      </c>
      <c r="P386" s="86" t="str">
        <f t="shared" si="319"/>
        <v>15</v>
      </c>
      <c r="Q386" s="4" t="str">
        <f t="shared" si="320"/>
        <v>1+87,7135456066219i</v>
      </c>
      <c r="R386" s="4">
        <f t="shared" si="331"/>
        <v>87.7192457952355</v>
      </c>
      <c r="S386" s="4">
        <f t="shared" si="332"/>
        <v>1.55939607303956</v>
      </c>
      <c r="T386" s="4" t="str">
        <f t="shared" si="321"/>
        <v>1+0,0601464312731122i</v>
      </c>
      <c r="U386" s="4">
        <f t="shared" si="333"/>
        <v>1.00180716367717</v>
      </c>
      <c r="V386" s="4">
        <f t="shared" si="334"/>
        <v>0.0600740598543408</v>
      </c>
      <c r="W386" t="str">
        <f t="shared" si="322"/>
        <v>1-5,26281273639732i</v>
      </c>
      <c r="X386" s="4">
        <f t="shared" si="335"/>
        <v>5.3569765631731</v>
      </c>
      <c r="Y386" s="4">
        <f t="shared" si="336"/>
        <v>-1.38302235344531</v>
      </c>
      <c r="Z386" t="str">
        <f t="shared" si="323"/>
        <v>0,983709385580318+0,279251288053734i</v>
      </c>
      <c r="AA386" s="4">
        <f t="shared" si="337"/>
        <v>1.02257783916848</v>
      </c>
      <c r="AB386" s="4">
        <f t="shared" si="338"/>
        <v>0.276599102012591</v>
      </c>
      <c r="AC386" s="67" t="str">
        <f t="shared" si="339"/>
        <v>-0,897301713346328+0,0155704786082511i</v>
      </c>
      <c r="AD386" s="68">
        <f t="shared" si="340"/>
        <v>-0.939922547209866</v>
      </c>
      <c r="AE386" s="31">
        <f t="shared" si="341"/>
        <v>179.005871526333</v>
      </c>
      <c r="AF386" s="32" t="str">
        <f t="shared" si="342"/>
        <v>75,4669735059805</v>
      </c>
      <c r="AG386" s="32" t="str">
        <f t="shared" si="324"/>
        <v>1+56,3872793185427i</v>
      </c>
      <c r="AH386" s="32">
        <f t="shared" si="343"/>
        <v>56.3961458696191</v>
      </c>
      <c r="AI386" s="32">
        <f t="shared" si="344"/>
        <v>1.55306368932046</v>
      </c>
      <c r="AJ386" s="32" t="str">
        <f t="shared" si="325"/>
        <v>1+0,0601464312731122i</v>
      </c>
      <c r="AK386" s="32">
        <f t="shared" si="345"/>
        <v>1.00180716367717</v>
      </c>
      <c r="AL386" s="32">
        <f t="shared" si="346"/>
        <v>0.0600740598543408</v>
      </c>
      <c r="AM386" s="32" t="str">
        <f t="shared" si="326"/>
        <v>1-0,67245754465349i</v>
      </c>
      <c r="AN386" s="32">
        <f t="shared" si="347"/>
        <v>1.20507225897927</v>
      </c>
      <c r="AO386" s="32">
        <f t="shared" si="348"/>
        <v>-0.592000965086316</v>
      </c>
      <c r="AP386" s="30" t="str">
        <f t="shared" si="349"/>
        <v>-0,79455288128638-1,40659132044639i</v>
      </c>
      <c r="AQ386" s="32">
        <f t="shared" si="350"/>
        <v>4.16609460648539</v>
      </c>
      <c r="AR386" s="31">
        <f t="shared" si="351"/>
        <v>-119.461161392327</v>
      </c>
      <c r="AS386" t="str">
        <f t="shared" si="327"/>
        <v>-0,000338461538461538</v>
      </c>
      <c r="AT386" t="str">
        <f t="shared" si="328"/>
        <v>0,0526443669004169i</v>
      </c>
      <c r="AU386">
        <f t="shared" si="352"/>
        <v>0.0526443669004169</v>
      </c>
      <c r="AV386">
        <f t="shared" si="353"/>
        <v>1.5707963267949</v>
      </c>
      <c r="AW386" t="str">
        <f t="shared" si="329"/>
        <v>1+8,54398585928472i</v>
      </c>
      <c r="AX386">
        <f t="shared" si="354"/>
        <v>8.60230750227271</v>
      </c>
      <c r="AY386">
        <f t="shared" si="355"/>
        <v>1.45428502227287</v>
      </c>
      <c r="AZ386" t="str">
        <f t="shared" si="330"/>
        <v>1+74,5815747786591i</v>
      </c>
      <c r="BA386">
        <f t="shared" si="356"/>
        <v>74.5882785460606</v>
      </c>
      <c r="BB386">
        <f t="shared" si="357"/>
        <v>1.55738899283364</v>
      </c>
      <c r="BC386" s="30" t="str">
        <f t="shared" si="358"/>
        <v>-0,0057374471673934+0,0554498745857949i</v>
      </c>
      <c r="BD386" s="32">
        <f t="shared" si="359"/>
        <v>-25.0757392411044</v>
      </c>
      <c r="BE386" s="31">
        <f t="shared" si="360"/>
        <v>95.907422364173</v>
      </c>
      <c r="BF386" s="30" t="str">
        <f t="shared" si="361"/>
        <v>0,00428484008746781-0,0498446022690586i</v>
      </c>
      <c r="BG386" s="68">
        <f t="shared" si="362"/>
        <v>-26.0156617883143</v>
      </c>
      <c r="BH386" s="31">
        <f t="shared" si="363"/>
        <v>-85.0867061094942</v>
      </c>
      <c r="BI386" s="30" t="str">
        <f t="shared" si="369"/>
        <v>0,0825540174903008-0,0359876142319365i</v>
      </c>
      <c r="BJ386" s="68">
        <f t="shared" si="364"/>
        <v>-20.909644634619</v>
      </c>
      <c r="BK386" s="31">
        <f t="shared" si="370"/>
        <v>-23.5537390281538</v>
      </c>
      <c r="BL386" s="32">
        <f t="shared" si="365"/>
        <v>-26.0156617883143</v>
      </c>
      <c r="BM386" s="31">
        <f t="shared" si="366"/>
        <v>-85.0867061094942</v>
      </c>
      <c r="BO386">
        <f t="shared" si="367"/>
        <v>0</v>
      </c>
      <c r="BP386">
        <f t="shared" si="368"/>
        <v>0</v>
      </c>
    </row>
    <row r="387" spans="14:68">
      <c r="N387" s="7">
        <v>69</v>
      </c>
      <c r="O387" s="18">
        <f t="shared" si="371"/>
        <v>48977.8819368446</v>
      </c>
      <c r="P387" s="86" t="str">
        <f t="shared" si="319"/>
        <v>15</v>
      </c>
      <c r="Q387" s="4" t="str">
        <f t="shared" si="320"/>
        <v>1+89,7566565473544i</v>
      </c>
      <c r="R387" s="4">
        <f t="shared" si="331"/>
        <v>89.76222699198</v>
      </c>
      <c r="S387" s="4">
        <f t="shared" si="332"/>
        <v>1.559655552775</v>
      </c>
      <c r="T387" s="4" t="str">
        <f t="shared" si="321"/>
        <v>1+0,0615474216324716i</v>
      </c>
      <c r="U387" s="4">
        <f t="shared" si="333"/>
        <v>1.00189225224552</v>
      </c>
      <c r="V387" s="4">
        <f t="shared" si="334"/>
        <v>0.0614698821681695</v>
      </c>
      <c r="W387" t="str">
        <f t="shared" si="322"/>
        <v>1-5,38539939284127i</v>
      </c>
      <c r="X387" s="4">
        <f t="shared" si="335"/>
        <v>5.47745621802814</v>
      </c>
      <c r="Y387" s="4">
        <f t="shared" si="336"/>
        <v>-1.38720013571028</v>
      </c>
      <c r="Z387" t="str">
        <f t="shared" si="323"/>
        <v>0,982941632575861+0,28575588615076i</v>
      </c>
      <c r="AA387" s="4">
        <f t="shared" si="337"/>
        <v>1.02363600929271</v>
      </c>
      <c r="AB387" s="4">
        <f t="shared" si="338"/>
        <v>0.282916837870133</v>
      </c>
      <c r="AC387" s="67" t="str">
        <f t="shared" si="339"/>
        <v>-0,89556493704475+0,0239262211620949i</v>
      </c>
      <c r="AD387" s="68">
        <f t="shared" si="340"/>
        <v>-0.954959635389156</v>
      </c>
      <c r="AE387" s="31">
        <f t="shared" si="341"/>
        <v>178.469630267932</v>
      </c>
      <c r="AF387" s="32" t="str">
        <f t="shared" si="342"/>
        <v>75,4669735059805</v>
      </c>
      <c r="AG387" s="32" t="str">
        <f t="shared" si="324"/>
        <v>1+57,7007077804422i</v>
      </c>
      <c r="AH387" s="32">
        <f t="shared" si="343"/>
        <v>57.7093725348317</v>
      </c>
      <c r="AI387" s="32">
        <f t="shared" si="344"/>
        <v>1.55346725168454</v>
      </c>
      <c r="AJ387" s="32" t="str">
        <f t="shared" si="325"/>
        <v>1+0,0615474216324716i</v>
      </c>
      <c r="AK387" s="32">
        <f t="shared" si="345"/>
        <v>1.00189225224552</v>
      </c>
      <c r="AL387" s="32">
        <f t="shared" si="346"/>
        <v>0.0614698821681695</v>
      </c>
      <c r="AM387" s="32" t="str">
        <f t="shared" si="326"/>
        <v>1-0,688121093050238i</v>
      </c>
      <c r="AN387" s="32">
        <f t="shared" si="347"/>
        <v>1.21388246494488</v>
      </c>
      <c r="AO387" s="32">
        <f t="shared" si="348"/>
        <v>-0.602708974045548</v>
      </c>
      <c r="AP387" s="30" t="str">
        <f t="shared" si="349"/>
        <v>-0,795632068643793-1,37708516686528i</v>
      </c>
      <c r="AQ387" s="32">
        <f t="shared" si="350"/>
        <v>4.03016474663995</v>
      </c>
      <c r="AR387" s="31">
        <f t="shared" si="351"/>
        <v>-120.017832805379</v>
      </c>
      <c r="AS387" t="str">
        <f t="shared" si="327"/>
        <v>-0,000338461538461538</v>
      </c>
      <c r="AT387" t="str">
        <f t="shared" si="328"/>
        <v>0,0538706117322535i</v>
      </c>
      <c r="AU387">
        <f t="shared" si="352"/>
        <v>0.0538706117322535</v>
      </c>
      <c r="AV387">
        <f t="shared" si="353"/>
        <v>1.5707963267949</v>
      </c>
      <c r="AW387" t="str">
        <f t="shared" si="329"/>
        <v>1+8,7430008559519i</v>
      </c>
      <c r="AX387">
        <f t="shared" si="354"/>
        <v>8.80000363449787</v>
      </c>
      <c r="AY387">
        <f t="shared" si="355"/>
        <v>1.45691400958067</v>
      </c>
      <c r="AZ387" t="str">
        <f t="shared" si="330"/>
        <v>1+76,3188028242648i</v>
      </c>
      <c r="BA387">
        <f t="shared" si="356"/>
        <v>76.3253540085404</v>
      </c>
      <c r="BB387">
        <f t="shared" si="357"/>
        <v>1.55769414568149</v>
      </c>
      <c r="BC387" s="30" t="str">
        <f t="shared" si="358"/>
        <v>-0,0054825540561886+0,0542168353041682i</v>
      </c>
      <c r="BD387" s="32">
        <f t="shared" si="359"/>
        <v>-25.2731321456349</v>
      </c>
      <c r="BE387" s="31">
        <f t="shared" si="360"/>
        <v>95.774276457331</v>
      </c>
      <c r="BF387" s="30" t="str">
        <f t="shared" si="361"/>
        <v>0,00361277918597858-0,0486858734968245i</v>
      </c>
      <c r="BG387" s="68">
        <f t="shared" si="362"/>
        <v>-26.2280917810241</v>
      </c>
      <c r="BH387" s="31">
        <f t="shared" si="363"/>
        <v>-85.7560932747366</v>
      </c>
      <c r="BI387" s="30" t="str">
        <f t="shared" si="369"/>
        <v>0,0790232955169246-0,0355867089610608i</v>
      </c>
      <c r="BJ387" s="68">
        <f t="shared" si="364"/>
        <v>-21.242967398995</v>
      </c>
      <c r="BK387" s="31">
        <f t="shared" si="370"/>
        <v>-24.2435563480476</v>
      </c>
      <c r="BL387" s="32">
        <f t="shared" si="365"/>
        <v>-26.2280917810241</v>
      </c>
      <c r="BM387" s="31">
        <f t="shared" si="366"/>
        <v>-85.7560932747366</v>
      </c>
      <c r="BO387">
        <f t="shared" si="367"/>
        <v>0</v>
      </c>
      <c r="BP387">
        <f t="shared" si="368"/>
        <v>0</v>
      </c>
    </row>
    <row r="388" spans="14:68">
      <c r="N388" s="7">
        <v>70</v>
      </c>
      <c r="O388" s="18">
        <f t="shared" si="371"/>
        <v>50118.7233627273</v>
      </c>
      <c r="P388" s="86" t="str">
        <f t="shared" si="319"/>
        <v>15</v>
      </c>
      <c r="Q388" s="4" t="str">
        <f t="shared" si="320"/>
        <v>1+91,8473576554584i</v>
      </c>
      <c r="R388" s="4">
        <f t="shared" si="331"/>
        <v>91.852801308886</v>
      </c>
      <c r="S388" s="4">
        <f t="shared" si="332"/>
        <v>1.55990912748026</v>
      </c>
      <c r="T388" s="4" t="str">
        <f t="shared" si="321"/>
        <v>1+0,0629810452494572i</v>
      </c>
      <c r="U388" s="4">
        <f t="shared" si="333"/>
        <v>1.00198134316998</v>
      </c>
      <c r="V388" s="4">
        <f t="shared" si="334"/>
        <v>0.0628979690873237</v>
      </c>
      <c r="W388" t="str">
        <f t="shared" si="322"/>
        <v>1-5,51084145932751i</v>
      </c>
      <c r="X388" s="4">
        <f t="shared" si="335"/>
        <v>5.6008368651339</v>
      </c>
      <c r="Y388" s="4">
        <f t="shared" si="336"/>
        <v>-1.39128909297802</v>
      </c>
      <c r="Z388" t="str">
        <f t="shared" si="323"/>
        <v>0,982137696487043+0,29241199580105i</v>
      </c>
      <c r="AA388" s="4">
        <f t="shared" si="337"/>
        <v>1.02474349480698</v>
      </c>
      <c r="AB388" s="4">
        <f t="shared" si="338"/>
        <v>0.289373057148106</v>
      </c>
      <c r="AC388" s="67" t="str">
        <f t="shared" si="339"/>
        <v>-0,893744731727045+0,0322608957003031i</v>
      </c>
      <c r="AD388" s="68">
        <f t="shared" si="340"/>
        <v>-0.970075171567563</v>
      </c>
      <c r="AE388" s="31">
        <f t="shared" si="341"/>
        <v>177.932730750485</v>
      </c>
      <c r="AF388" s="32" t="str">
        <f t="shared" si="342"/>
        <v>75,4669735059805</v>
      </c>
      <c r="AG388" s="32" t="str">
        <f t="shared" si="324"/>
        <v>1+59,0447299213662i</v>
      </c>
      <c r="AH388" s="32">
        <f t="shared" si="343"/>
        <v>59.0531974704764</v>
      </c>
      <c r="AI388" s="32">
        <f t="shared" si="344"/>
        <v>1.55386163330253</v>
      </c>
      <c r="AJ388" s="32" t="str">
        <f t="shared" si="325"/>
        <v>1+0,0629810452494572i</v>
      </c>
      <c r="AK388" s="32">
        <f t="shared" si="345"/>
        <v>1.00198134316998</v>
      </c>
      <c r="AL388" s="32">
        <f t="shared" si="346"/>
        <v>0.0628979690873237</v>
      </c>
      <c r="AM388" s="32" t="str">
        <f t="shared" si="326"/>
        <v>1-0,704149492358882i</v>
      </c>
      <c r="AN388" s="32">
        <f t="shared" si="347"/>
        <v>1.2230398634506</v>
      </c>
      <c r="AO388" s="32">
        <f t="shared" si="348"/>
        <v>-0.613505433049972</v>
      </c>
      <c r="AP388" s="30" t="str">
        <f t="shared" si="349"/>
        <v>-0,796662713081805-1,34830747853957i</v>
      </c>
      <c r="AQ388" s="32">
        <f t="shared" si="350"/>
        <v>3.89627526979546</v>
      </c>
      <c r="AR388" s="31">
        <f t="shared" si="351"/>
        <v>-120.577197389001</v>
      </c>
      <c r="AS388" t="str">
        <f t="shared" si="327"/>
        <v>-0,000338461538461538</v>
      </c>
      <c r="AT388" t="str">
        <f t="shared" si="328"/>
        <v>0,0551254194754925i</v>
      </c>
      <c r="AU388">
        <f t="shared" si="352"/>
        <v>0.0551254194754925</v>
      </c>
      <c r="AV388">
        <f t="shared" si="353"/>
        <v>1.5707963267949</v>
      </c>
      <c r="AW388" t="str">
        <f t="shared" si="329"/>
        <v>1+8,94665150740023i</v>
      </c>
      <c r="AX388">
        <f t="shared" si="354"/>
        <v>9.00236486679288</v>
      </c>
      <c r="AY388">
        <f t="shared" si="355"/>
        <v>1.45948468248227</v>
      </c>
      <c r="AZ388" t="str">
        <f t="shared" si="330"/>
        <v>1+78,0964961093269i</v>
      </c>
      <c r="BA388">
        <f t="shared" si="356"/>
        <v>78.1028981828082</v>
      </c>
      <c r="BB388">
        <f t="shared" si="357"/>
        <v>1.55799235476048</v>
      </c>
      <c r="BC388" s="30" t="str">
        <f t="shared" si="358"/>
        <v>-0,00523884324099467+0,0530099499119035i</v>
      </c>
      <c r="BD388" s="32">
        <f t="shared" si="359"/>
        <v>-25.4706408875455</v>
      </c>
      <c r="BE388" s="31">
        <f t="shared" si="360"/>
        <v>95.6440738711993</v>
      </c>
      <c r="BF388" s="30" t="str">
        <f t="shared" si="361"/>
        <v>0,00297204008179661-0,0475463732382663i</v>
      </c>
      <c r="BG388" s="68">
        <f t="shared" si="362"/>
        <v>-26.4407160591131</v>
      </c>
      <c r="BH388" s="31">
        <f t="shared" si="363"/>
        <v>-86.4231953783153</v>
      </c>
      <c r="BI388" s="30" t="str">
        <f t="shared" si="369"/>
        <v>0,0756473029730086-0,035167478996418i</v>
      </c>
      <c r="BJ388" s="68">
        <f t="shared" si="364"/>
        <v>-21.5743656177501</v>
      </c>
      <c r="BK388" s="31">
        <f t="shared" si="370"/>
        <v>-24.933123517802</v>
      </c>
      <c r="BL388" s="32">
        <f t="shared" si="365"/>
        <v>-26.4407160591131</v>
      </c>
      <c r="BM388" s="31">
        <f t="shared" si="366"/>
        <v>-86.4231953783153</v>
      </c>
      <c r="BO388">
        <f t="shared" si="367"/>
        <v>0</v>
      </c>
      <c r="BP388">
        <f t="shared" si="368"/>
        <v>0</v>
      </c>
    </row>
    <row r="389" spans="14:68">
      <c r="N389" s="7">
        <v>71</v>
      </c>
      <c r="O389" s="18">
        <f t="shared" si="371"/>
        <v>51286.1383991365</v>
      </c>
      <c r="P389" s="86" t="str">
        <f t="shared" si="319"/>
        <v>15</v>
      </c>
      <c r="Q389" s="4" t="str">
        <f t="shared" si="320"/>
        <v>1+93,9867574483349i</v>
      </c>
      <c r="R389" s="4">
        <f t="shared" si="331"/>
        <v>93.9920771961772</v>
      </c>
      <c r="S389" s="4">
        <f t="shared" si="332"/>
        <v>1.56015693147348</v>
      </c>
      <c r="T389" s="4" t="str">
        <f t="shared" si="321"/>
        <v>1+0,0644480622502868i</v>
      </c>
      <c r="U389" s="4">
        <f t="shared" si="333"/>
        <v>1.00207462433085</v>
      </c>
      <c r="V389" s="4">
        <f t="shared" si="334"/>
        <v>0.0643590544893503</v>
      </c>
      <c r="W389" t="str">
        <f t="shared" si="322"/>
        <v>1-5,6392054469001i</v>
      </c>
      <c r="X389" s="4">
        <f t="shared" si="335"/>
        <v>5.72718413117195</v>
      </c>
      <c r="Y389" s="4">
        <f t="shared" si="336"/>
        <v>-1.39529084607445</v>
      </c>
      <c r="Z389" t="str">
        <f t="shared" si="323"/>
        <v>0,981295872057633+0,299223146162045i</v>
      </c>
      <c r="AA389" s="4">
        <f t="shared" si="337"/>
        <v>1.02590256833506</v>
      </c>
      <c r="AB389" s="4">
        <f t="shared" si="338"/>
        <v>0.295970396895246</v>
      </c>
      <c r="AC389" s="67" t="str">
        <f t="shared" si="339"/>
        <v>-0,891838186099155+0,0405766947863753i</v>
      </c>
      <c r="AD389" s="68">
        <f t="shared" si="340"/>
        <v>-0.985297896993866</v>
      </c>
      <c r="AE389" s="31">
        <f t="shared" si="341"/>
        <v>177.394963367968</v>
      </c>
      <c r="AF389" s="32" t="str">
        <f t="shared" si="342"/>
        <v>75,4669735059805</v>
      </c>
      <c r="AG389" s="32" t="str">
        <f t="shared" si="324"/>
        <v>1+60,4200583596439i</v>
      </c>
      <c r="AH389" s="32">
        <f t="shared" si="343"/>
        <v>60.4283331905057</v>
      </c>
      <c r="AI389" s="32">
        <f t="shared" si="344"/>
        <v>1.55424704278978</v>
      </c>
      <c r="AJ389" s="32" t="str">
        <f t="shared" si="325"/>
        <v>1+0,0644480622502868i</v>
      </c>
      <c r="AK389" s="32">
        <f t="shared" si="345"/>
        <v>1.00207462433085</v>
      </c>
      <c r="AL389" s="32">
        <f t="shared" si="346"/>
        <v>0.0643590544893503</v>
      </c>
      <c r="AM389" s="32" t="str">
        <f t="shared" si="326"/>
        <v>1-0,720551241048896i</v>
      </c>
      <c r="AN389" s="32">
        <f t="shared" si="347"/>
        <v>1.232555917992</v>
      </c>
      <c r="AO389" s="32">
        <f t="shared" si="348"/>
        <v>-0.624385998823585</v>
      </c>
      <c r="AP389" s="30" t="str">
        <f t="shared" si="349"/>
        <v>-0,797646996883929-1,32024310946251i</v>
      </c>
      <c r="AQ389" s="32">
        <f t="shared" si="350"/>
        <v>3.76446028506574</v>
      </c>
      <c r="AR389" s="31">
        <f t="shared" si="351"/>
        <v>-121.138976196503</v>
      </c>
      <c r="AS389" t="str">
        <f t="shared" si="327"/>
        <v>-0,000338461538461538</v>
      </c>
      <c r="AT389" t="str">
        <f t="shared" si="328"/>
        <v>0,0564094554458084i</v>
      </c>
      <c r="AU389">
        <f t="shared" si="352"/>
        <v>0.0564094554458084</v>
      </c>
      <c r="AV389">
        <f t="shared" si="353"/>
        <v>1.5707963267949</v>
      </c>
      <c r="AW389" t="str">
        <f t="shared" si="329"/>
        <v>1+9,15504579190073i</v>
      </c>
      <c r="AX389">
        <f t="shared" si="354"/>
        <v>9.2094985450783</v>
      </c>
      <c r="AY389">
        <f t="shared" si="355"/>
        <v>1.46199826800546</v>
      </c>
      <c r="AZ389" t="str">
        <f t="shared" si="330"/>
        <v>1+79,9155971903556i</v>
      </c>
      <c r="BA389">
        <f t="shared" si="356"/>
        <v>79.9218535463935</v>
      </c>
      <c r="BB389">
        <f t="shared" si="357"/>
        <v>1.55828377797274</v>
      </c>
      <c r="BC389" s="30" t="str">
        <f t="shared" si="358"/>
        <v>-0,00500583647176451+0,0518287473204721i</v>
      </c>
      <c r="BD389" s="32">
        <f t="shared" si="359"/>
        <v>-25.6682603837945</v>
      </c>
      <c r="BE389" s="31">
        <f t="shared" si="360"/>
        <v>95.5167533493903</v>
      </c>
      <c r="BF389" s="30" t="str">
        <f t="shared" si="361"/>
        <v>0,00236135685770449-0,0464259762967466i</v>
      </c>
      <c r="BG389" s="68">
        <f t="shared" si="362"/>
        <v>-26.6535582807883</v>
      </c>
      <c r="BH389" s="31">
        <f t="shared" si="363"/>
        <v>-87.088283282642</v>
      </c>
      <c r="BI389" s="30" t="str">
        <f t="shared" si="369"/>
        <v>0,0724194369505218-0,0347321235434873i</v>
      </c>
      <c r="BJ389" s="68">
        <f t="shared" si="364"/>
        <v>-21.9038000987288</v>
      </c>
      <c r="BK389" s="31">
        <f t="shared" si="370"/>
        <v>-25.6222228471128</v>
      </c>
      <c r="BL389" s="32">
        <f t="shared" si="365"/>
        <v>-26.6535582807883</v>
      </c>
      <c r="BM389" s="31">
        <f t="shared" si="366"/>
        <v>-87.088283282642</v>
      </c>
      <c r="BO389">
        <f t="shared" si="367"/>
        <v>0</v>
      </c>
      <c r="BP389">
        <f t="shared" si="368"/>
        <v>0</v>
      </c>
    </row>
    <row r="390" spans="14:68">
      <c r="N390" s="7">
        <v>72</v>
      </c>
      <c r="O390" s="18">
        <f t="shared" si="371"/>
        <v>52480.7460249773</v>
      </c>
      <c r="P390" s="86" t="str">
        <f t="shared" si="319"/>
        <v>15</v>
      </c>
      <c r="Q390" s="4" t="str">
        <f t="shared" si="320"/>
        <v>1+96,1759902640719i</v>
      </c>
      <c r="R390" s="4">
        <f t="shared" si="331"/>
        <v>96.1811889262908</v>
      </c>
      <c r="S390" s="4">
        <f t="shared" si="332"/>
        <v>1.56039909602182</v>
      </c>
      <c r="T390" s="4" t="str">
        <f t="shared" si="321"/>
        <v>1+0,0659492504667922i</v>
      </c>
      <c r="U390" s="4">
        <f t="shared" si="333"/>
        <v>1.00217229239145</v>
      </c>
      <c r="V390" s="4">
        <f t="shared" si="334"/>
        <v>0.0658538880943435</v>
      </c>
      <c r="W390" t="str">
        <f t="shared" si="322"/>
        <v>1-5,77055941584432i</v>
      </c>
      <c r="X390" s="4">
        <f t="shared" si="335"/>
        <v>5.85656520255598</v>
      </c>
      <c r="Y390" s="4">
        <f t="shared" si="336"/>
        <v>-1.39920700385509</v>
      </c>
      <c r="Z390" t="str">
        <f t="shared" si="323"/>
        <v>0,980414373665151+0,30619294859582i</v>
      </c>
      <c r="AA390" s="4">
        <f t="shared" si="337"/>
        <v>1.02711560491457</v>
      </c>
      <c r="AB390" s="4">
        <f t="shared" si="338"/>
        <v>0.302711517171682</v>
      </c>
      <c r="AC390" s="67" t="str">
        <f t="shared" si="339"/>
        <v>-0,889842289578841+0,0488756653691944i</v>
      </c>
      <c r="AD390" s="68">
        <f t="shared" si="340"/>
        <v>-1.00065671005163</v>
      </c>
      <c r="AE390" s="31">
        <f t="shared" si="341"/>
        <v>176.856118964272</v>
      </c>
      <c r="AF390" s="32" t="str">
        <f t="shared" si="342"/>
        <v>75,4669735059805</v>
      </c>
      <c r="AG390" s="32" t="str">
        <f t="shared" si="324"/>
        <v>1+61,8274223126177i</v>
      </c>
      <c r="AH390" s="32">
        <f t="shared" si="343"/>
        <v>61.8355088102522</v>
      </c>
      <c r="AI390" s="32">
        <f t="shared" si="344"/>
        <v>1.55462368403724</v>
      </c>
      <c r="AJ390" s="32" t="str">
        <f t="shared" si="325"/>
        <v>1+0,0659492504667922i</v>
      </c>
      <c r="AK390" s="32">
        <f t="shared" si="345"/>
        <v>1.00217229239145</v>
      </c>
      <c r="AL390" s="32">
        <f t="shared" si="346"/>
        <v>0.0658538880943435</v>
      </c>
      <c r="AM390" s="32" t="str">
        <f t="shared" si="326"/>
        <v>1-0,737335035544535i</v>
      </c>
      <c r="AN390" s="32">
        <f t="shared" si="347"/>
        <v>1.24244233453366</v>
      </c>
      <c r="AO390" s="32">
        <f t="shared" si="348"/>
        <v>-0.63534613565232</v>
      </c>
      <c r="AP390" s="30" t="str">
        <f t="shared" si="349"/>
        <v>-0,798587004335257-1,29287728434973i</v>
      </c>
      <c r="AQ390" s="32">
        <f t="shared" si="350"/>
        <v>3.63475254479393</v>
      </c>
      <c r="AR390" s="31">
        <f t="shared" si="351"/>
        <v>-121.702878076905</v>
      </c>
      <c r="AS390" t="str">
        <f t="shared" si="327"/>
        <v>-0,000338461538461538</v>
      </c>
      <c r="AT390" t="str">
        <f t="shared" si="328"/>
        <v>0,0577234004560692i</v>
      </c>
      <c r="AU390">
        <f t="shared" si="352"/>
        <v>0.0577234004560692</v>
      </c>
      <c r="AV390">
        <f t="shared" si="353"/>
        <v>1.5707963267949</v>
      </c>
      <c r="AW390" t="str">
        <f t="shared" si="329"/>
        <v>1+9,36829420286141i</v>
      </c>
      <c r="AX390">
        <f t="shared" si="354"/>
        <v>9.42151454233165</v>
      </c>
      <c r="AY390">
        <f t="shared" si="355"/>
        <v>1.46445597176864</v>
      </c>
      <c r="AZ390" t="str">
        <f t="shared" si="330"/>
        <v>1+81,7770705788223i</v>
      </c>
      <c r="BA390">
        <f t="shared" si="356"/>
        <v>81.7831845335805</v>
      </c>
      <c r="BB390">
        <f t="shared" si="357"/>
        <v>1.5585685696366</v>
      </c>
      <c r="BC390" s="30" t="str">
        <f t="shared" si="358"/>
        <v>-0,00478307487899025+0,0506727592418641i</v>
      </c>
      <c r="BD390" s="32">
        <f t="shared" si="359"/>
        <v>-25.8659857688353</v>
      </c>
      <c r="BE390" s="31">
        <f t="shared" si="360"/>
        <v>95.3922546568459</v>
      </c>
      <c r="BF390" s="30" t="str">
        <f t="shared" si="361"/>
        <v>0,00177951747750862-0,0453245400702791i</v>
      </c>
      <c r="BG390" s="68">
        <f t="shared" si="362"/>
        <v>-26.8666424788869</v>
      </c>
      <c r="BH390" s="31">
        <f t="shared" si="363"/>
        <v>-87.7516263788817</v>
      </c>
      <c r="BI390" s="30" t="str">
        <f t="shared" si="369"/>
        <v>0,069333360798253-0,0342826781439716i</v>
      </c>
      <c r="BJ390" s="68">
        <f t="shared" si="364"/>
        <v>-22.2312332240414</v>
      </c>
      <c r="BK390" s="31">
        <f t="shared" si="370"/>
        <v>-26.3106234200593</v>
      </c>
      <c r="BL390" s="32">
        <f t="shared" si="365"/>
        <v>-26.8666424788869</v>
      </c>
      <c r="BM390" s="31">
        <f t="shared" si="366"/>
        <v>-87.7516263788817</v>
      </c>
      <c r="BO390">
        <f t="shared" si="367"/>
        <v>0</v>
      </c>
      <c r="BP390">
        <f t="shared" si="368"/>
        <v>0</v>
      </c>
    </row>
    <row r="391" spans="14:68">
      <c r="N391" s="7">
        <v>73</v>
      </c>
      <c r="O391" s="18">
        <f t="shared" si="371"/>
        <v>53703.1796370254</v>
      </c>
      <c r="P391" s="86" t="str">
        <f t="shared" si="319"/>
        <v>15</v>
      </c>
      <c r="Q391" s="4" t="str">
        <f t="shared" si="320"/>
        <v>1+98,416216862887i</v>
      </c>
      <c r="R391" s="4">
        <f t="shared" si="331"/>
        <v>98.421297195286</v>
      </c>
      <c r="S391" s="4">
        <f t="shared" si="332"/>
        <v>1.56063574941046</v>
      </c>
      <c r="T391" s="4" t="str">
        <f t="shared" si="321"/>
        <v>1+0,0674854058488368i</v>
      </c>
      <c r="U391" s="4">
        <f t="shared" si="333"/>
        <v>1.00227455320515</v>
      </c>
      <c r="V391" s="4">
        <f t="shared" si="334"/>
        <v>0.0673832357458401</v>
      </c>
      <c r="W391" t="str">
        <f t="shared" si="322"/>
        <v>1-5,90497301177323i</v>
      </c>
      <c r="X391" s="4">
        <f t="shared" si="335"/>
        <v>5.98904886186197</v>
      </c>
      <c r="Y391" s="4">
        <f t="shared" si="336"/>
        <v>-1.40303916200477</v>
      </c>
      <c r="Z391" t="str">
        <f t="shared" si="323"/>
        <v>0,979491331533322+0,313325098583884i</v>
      </c>
      <c r="AA391" s="4">
        <f t="shared" si="337"/>
        <v>1.02838508641049</v>
      </c>
      <c r="AB391" s="4">
        <f t="shared" si="338"/>
        <v>0.309599099254709</v>
      </c>
      <c r="AC391" s="67" t="str">
        <f t="shared" si="339"/>
        <v>-0,887753932928378+0,0571597026166859i</v>
      </c>
      <c r="AD391" s="68">
        <f t="shared" si="340"/>
        <v>-1.01618070223856</v>
      </c>
      <c r="AE391" s="31">
        <f t="shared" si="341"/>
        <v>176.315989016925</v>
      </c>
      <c r="AF391" s="32" t="str">
        <f t="shared" si="342"/>
        <v>75,4669735059805</v>
      </c>
      <c r="AG391" s="32" t="str">
        <f t="shared" si="324"/>
        <v>1+63,2675679832845i</v>
      </c>
      <c r="AH391" s="32">
        <f t="shared" si="343"/>
        <v>63.2754704330163</v>
      </c>
      <c r="AI391" s="32">
        <f t="shared" si="344"/>
        <v>1.55499175631741</v>
      </c>
      <c r="AJ391" s="32" t="str">
        <f t="shared" si="325"/>
        <v>1+0,0674854058488368i</v>
      </c>
      <c r="AK391" s="32">
        <f t="shared" si="345"/>
        <v>1.00227455320515</v>
      </c>
      <c r="AL391" s="32">
        <f t="shared" si="346"/>
        <v>0.0673832357458401</v>
      </c>
      <c r="AM391" s="32" t="str">
        <f t="shared" si="326"/>
        <v>1-0,754509774835805i</v>
      </c>
      <c r="AN391" s="32">
        <f t="shared" si="347"/>
        <v>1.25271106019017</v>
      </c>
      <c r="AO391" s="32">
        <f t="shared" si="348"/>
        <v>-0.646381122366086</v>
      </c>
      <c r="AP391" s="30" t="str">
        <f t="shared" si="349"/>
        <v>-0,799484726113733-1,26619559130428i</v>
      </c>
      <c r="AQ391" s="32">
        <f t="shared" si="350"/>
        <v>3.50718333813006</v>
      </c>
      <c r="AR391" s="31">
        <f t="shared" si="351"/>
        <v>-122.268600064957</v>
      </c>
      <c r="AS391" t="str">
        <f t="shared" si="327"/>
        <v>-0,000338461538461538</v>
      </c>
      <c r="AT391" t="str">
        <f t="shared" si="328"/>
        <v>0,0590679511773114i</v>
      </c>
      <c r="AU391">
        <f t="shared" si="352"/>
        <v>0.0590679511773114</v>
      </c>
      <c r="AV391">
        <f t="shared" si="353"/>
        <v>1.5707963267949</v>
      </c>
      <c r="AW391" t="str">
        <f t="shared" si="329"/>
        <v>1+9,58650980741251i</v>
      </c>
      <c r="AX391">
        <f t="shared" si="354"/>
        <v>9.6385253170605</v>
      </c>
      <c r="AY391">
        <f t="shared" si="355"/>
        <v>1.46685897805196</v>
      </c>
      <c r="AZ391" t="str">
        <f t="shared" si="330"/>
        <v>1+83,6819032525576i</v>
      </c>
      <c r="BA391">
        <f t="shared" si="356"/>
        <v>83.6878780467662</v>
      </c>
      <c r="BB391">
        <f t="shared" si="357"/>
        <v>1.55884688056747</v>
      </c>
      <c r="BC391" s="30" t="str">
        <f t="shared" si="358"/>
        <v>-0,00457011828269012+0,0495415206144807i</v>
      </c>
      <c r="BD391" s="32">
        <f t="shared" si="359"/>
        <v>-26.0638123857946</v>
      </c>
      <c r="BE391" s="31">
        <f t="shared" si="360"/>
        <v>95.2705185803997</v>
      </c>
      <c r="BF391" s="30" t="str">
        <f t="shared" si="361"/>
        <v>0,00122536189390391-0,0442419063707192i</v>
      </c>
      <c r="BG391" s="68">
        <f t="shared" si="362"/>
        <v>-27.0799930880332</v>
      </c>
      <c r="BH391" s="31">
        <f t="shared" si="363"/>
        <v>-88.4134924026759</v>
      </c>
      <c r="BI391" s="30" t="str">
        <f t="shared" si="369"/>
        <v>0,0663829947521094-0,0338210254184446i</v>
      </c>
      <c r="BJ391" s="68">
        <f t="shared" si="364"/>
        <v>-22.5566290476645</v>
      </c>
      <c r="BK391" s="31">
        <f t="shared" si="370"/>
        <v>-26.9980814845578</v>
      </c>
      <c r="BL391" s="32">
        <f t="shared" si="365"/>
        <v>-27.0799930880332</v>
      </c>
      <c r="BM391" s="31">
        <f t="shared" si="366"/>
        <v>-88.4134924026759</v>
      </c>
      <c r="BO391">
        <f t="shared" si="367"/>
        <v>0</v>
      </c>
      <c r="BP391">
        <f t="shared" si="368"/>
        <v>0</v>
      </c>
    </row>
    <row r="392" spans="14:68">
      <c r="N392" s="7">
        <v>74</v>
      </c>
      <c r="O392" s="18">
        <f t="shared" si="371"/>
        <v>54954.0873857625</v>
      </c>
      <c r="P392" s="86" t="str">
        <f t="shared" si="319"/>
        <v>15</v>
      </c>
      <c r="Q392" s="4" t="str">
        <f t="shared" si="320"/>
        <v>1+100,708625042575i</v>
      </c>
      <c r="R392" s="4">
        <f t="shared" si="331"/>
        <v>100.713589738257</v>
      </c>
      <c r="S392" s="4">
        <f t="shared" si="332"/>
        <v>1.56086701701006</v>
      </c>
      <c r="T392" s="4" t="str">
        <f t="shared" si="321"/>
        <v>1+0,0690573428863372i</v>
      </c>
      <c r="U392" s="4">
        <f t="shared" si="333"/>
        <v>1.00238162224101</v>
      </c>
      <c r="V392" s="4">
        <f t="shared" si="334"/>
        <v>0.0689478796921211</v>
      </c>
      <c r="W392" t="str">
        <f t="shared" si="322"/>
        <v>1-6,04251750255451i</v>
      </c>
      <c r="X392" s="4">
        <f t="shared" si="335"/>
        <v>6.12470552505813</v>
      </c>
      <c r="Y392" s="4">
        <f t="shared" si="336"/>
        <v>-1.40678890194359</v>
      </c>
      <c r="Z392" t="str">
        <f t="shared" si="323"/>
        <v>0,97852478776603+0,320623377686565i</v>
      </c>
      <c r="AA392" s="4">
        <f t="shared" si="337"/>
        <v>1.02971360610205</v>
      </c>
      <c r="AB392" s="4">
        <f t="shared" si="338"/>
        <v>0.316635843681629</v>
      </c>
      <c r="AC392" s="67" t="str">
        <f t="shared" si="339"/>
        <v>-0,885569909212969+0,0654305434157987i</v>
      </c>
      <c r="AD392" s="68">
        <f t="shared" si="340"/>
        <v>-1.03189919395027</v>
      </c>
      <c r="AE392" s="31">
        <f t="shared" si="341"/>
        <v>175.774365824151</v>
      </c>
      <c r="AF392" s="32" t="str">
        <f t="shared" si="342"/>
        <v>75,4669735059805</v>
      </c>
      <c r="AG392" s="32" t="str">
        <f t="shared" si="324"/>
        <v>1+64,7412589559412i</v>
      </c>
      <c r="AH392" s="32">
        <f t="shared" si="343"/>
        <v>64.7489815456601</v>
      </c>
      <c r="AI392" s="32">
        <f t="shared" si="344"/>
        <v>1.55535145438793</v>
      </c>
      <c r="AJ392" s="32" t="str">
        <f t="shared" si="325"/>
        <v>1+0,0690573428863372i</v>
      </c>
      <c r="AK392" s="32">
        <f t="shared" si="345"/>
        <v>1.00238162224101</v>
      </c>
      <c r="AL392" s="32">
        <f t="shared" si="346"/>
        <v>0.0689478796921211</v>
      </c>
      <c r="AM392" s="32" t="str">
        <f t="shared" si="326"/>
        <v>1-0,772084565196807i</v>
      </c>
      <c r="AN392" s="32">
        <f t="shared" si="347"/>
        <v>1.26337428176101</v>
      </c>
      <c r="AO392" s="32">
        <f t="shared" si="348"/>
        <v>-0.657486060306779</v>
      </c>
      <c r="AP392" s="30" t="str">
        <f t="shared" si="349"/>
        <v>-0,800342063485485-1,24018397464119i</v>
      </c>
      <c r="AQ392" s="32">
        <f t="shared" si="350"/>
        <v>3.38178238776856</v>
      </c>
      <c r="AR392" s="31">
        <f t="shared" si="351"/>
        <v>-122.835827827491</v>
      </c>
      <c r="AS392" t="str">
        <f t="shared" si="327"/>
        <v>-0,000338461538461538</v>
      </c>
      <c r="AT392" t="str">
        <f t="shared" si="328"/>
        <v>0,0604438205081244i</v>
      </c>
      <c r="AU392">
        <f t="shared" si="352"/>
        <v>0.0604438205081244</v>
      </c>
      <c r="AV392">
        <f t="shared" si="353"/>
        <v>1.5707963267949</v>
      </c>
      <c r="AW392" t="str">
        <f t="shared" si="329"/>
        <v>1+9,80980830635592i</v>
      </c>
      <c r="AX392">
        <f t="shared" si="354"/>
        <v>9.86064597313227</v>
      </c>
      <c r="AY392">
        <f t="shared" si="355"/>
        <v>1.46920844989247</v>
      </c>
      <c r="AZ392" t="str">
        <f t="shared" si="330"/>
        <v>1+85,6311051790581i</v>
      </c>
      <c r="BA392">
        <f t="shared" si="356"/>
        <v>85.6369439797271</v>
      </c>
      <c r="BB392">
        <f t="shared" si="357"/>
        <v>1.55911885815694</v>
      </c>
      <c r="BC392" s="30" t="str">
        <f t="shared" si="358"/>
        <v>-0,00436654451748009+0,0484345699907519i</v>
      </c>
      <c r="BD392" s="32">
        <f t="shared" si="359"/>
        <v>-26.2617357779651</v>
      </c>
      <c r="BE392" s="31">
        <f t="shared" si="360"/>
        <v>95.1514869278523</v>
      </c>
      <c r="BF392" s="30" t="str">
        <f t="shared" si="361"/>
        <v>0,000697780197313798-0,0431779031301074i</v>
      </c>
      <c r="BG392" s="68">
        <f t="shared" si="362"/>
        <v>-27.2936349719154</v>
      </c>
      <c r="BH392" s="31">
        <f t="shared" si="363"/>
        <v>-89.0741472479965</v>
      </c>
      <c r="BI392" s="30" t="str">
        <f t="shared" si="369"/>
        <v>0,0635625067705888-0,0333489051552944i</v>
      </c>
      <c r="BJ392" s="68">
        <f t="shared" si="364"/>
        <v>-22.8799533901966</v>
      </c>
      <c r="BK392" s="31">
        <f t="shared" si="370"/>
        <v>-27.6843408996387</v>
      </c>
      <c r="BL392" s="32">
        <f t="shared" si="365"/>
        <v>-27.2936349719154</v>
      </c>
      <c r="BM392" s="31">
        <f t="shared" si="366"/>
        <v>-89.0741472479965</v>
      </c>
      <c r="BO392">
        <f t="shared" si="367"/>
        <v>0</v>
      </c>
      <c r="BP392">
        <f t="shared" si="368"/>
        <v>0</v>
      </c>
    </row>
    <row r="393" spans="14:68">
      <c r="N393" s="7">
        <v>75</v>
      </c>
      <c r="O393" s="18">
        <f t="shared" si="371"/>
        <v>56234.132519035</v>
      </c>
      <c r="P393" s="86" t="str">
        <f t="shared" si="319"/>
        <v>15</v>
      </c>
      <c r="Q393" s="4" t="str">
        <f t="shared" si="320"/>
        <v>1+103,054430268297i</v>
      </c>
      <c r="R393" s="4">
        <f t="shared" si="331"/>
        <v>103.05928195909</v>
      </c>
      <c r="S393" s="4">
        <f t="shared" si="332"/>
        <v>1.56109302134274</v>
      </c>
      <c r="T393" s="4" t="str">
        <f t="shared" si="321"/>
        <v>1+0,070665895041118i</v>
      </c>
      <c r="U393" s="4">
        <f t="shared" si="333"/>
        <v>1.00249372502872</v>
      </c>
      <c r="V393" s="4">
        <f t="shared" si="334"/>
        <v>0.070548618867516</v>
      </c>
      <c r="W393" t="str">
        <f t="shared" si="322"/>
        <v>1-6,18326581609783i</v>
      </c>
      <c r="X393" s="4">
        <f t="shared" si="335"/>
        <v>6.26360727955736</v>
      </c>
      <c r="Y393" s="4">
        <f t="shared" si="336"/>
        <v>-1.41045778983343</v>
      </c>
      <c r="Z393" t="str">
        <f t="shared" si="323"/>
        <v>0,977512692194358+0,328091655548047i</v>
      </c>
      <c r="AA393" s="4">
        <f t="shared" si="337"/>
        <v>1.0311038734489</v>
      </c>
      <c r="AB393" s="4">
        <f t="shared" si="338"/>
        <v>0.323824468121966</v>
      </c>
      <c r="AC393" s="67" t="str">
        <f t="shared" si="339"/>
        <v>-0,883286915120356+0,0736897595420901i</v>
      </c>
      <c r="AD393" s="68">
        <f t="shared" si="340"/>
        <v>-1.04784176998545</v>
      </c>
      <c r="AE393" s="31">
        <f t="shared" si="341"/>
        <v>175.231042696057</v>
      </c>
      <c r="AF393" s="32" t="str">
        <f t="shared" si="342"/>
        <v>75,4669735059805</v>
      </c>
      <c r="AG393" s="32" t="str">
        <f t="shared" si="324"/>
        <v>1+66,2492766010482i</v>
      </c>
      <c r="AH393" s="32">
        <f t="shared" si="343"/>
        <v>66.2568234234195</v>
      </c>
      <c r="AI393" s="32">
        <f t="shared" si="344"/>
        <v>1.55570296859295</v>
      </c>
      <c r="AJ393" s="32" t="str">
        <f t="shared" si="325"/>
        <v>1+0,070665895041118i</v>
      </c>
      <c r="AK393" s="32">
        <f t="shared" si="345"/>
        <v>1.00249372502872</v>
      </c>
      <c r="AL393" s="32">
        <f t="shared" si="346"/>
        <v>0.070548618867516</v>
      </c>
      <c r="AM393" s="32" t="str">
        <f t="shared" si="326"/>
        <v>1-0,790068725014025i</v>
      </c>
      <c r="AN393" s="32">
        <f t="shared" si="347"/>
        <v>1.27444442414932</v>
      </c>
      <c r="AO393" s="32">
        <f t="shared" si="348"/>
        <v>-0.668655882265991</v>
      </c>
      <c r="AP393" s="30" t="str">
        <f t="shared" si="349"/>
        <v>-0,801160832312896-1,21482872786973i</v>
      </c>
      <c r="AQ393" s="32">
        <f t="shared" si="350"/>
        <v>3.25857775062739</v>
      </c>
      <c r="AR393" s="31">
        <f t="shared" si="351"/>
        <v>-123.404236165201</v>
      </c>
      <c r="AS393" t="str">
        <f t="shared" si="327"/>
        <v>-0,000338461538461538</v>
      </c>
      <c r="AT393" t="str">
        <f t="shared" si="328"/>
        <v>0,0618517379526394i</v>
      </c>
      <c r="AU393">
        <f t="shared" si="352"/>
        <v>0.0618517379526394</v>
      </c>
      <c r="AV393">
        <f t="shared" si="353"/>
        <v>1.5707963267949</v>
      </c>
      <c r="AW393" t="str">
        <f t="shared" si="329"/>
        <v>1+10,0383080955115i</v>
      </c>
      <c r="AX393">
        <f t="shared" si="354"/>
        <v>10.0879943209942</v>
      </c>
      <c r="AY393">
        <f t="shared" si="355"/>
        <v>1.47150552920149</v>
      </c>
      <c r="AZ393" t="str">
        <f t="shared" si="330"/>
        <v>1+87,6257098509863i</v>
      </c>
      <c r="BA393">
        <f t="shared" si="356"/>
        <v>87.6314157530805</v>
      </c>
      <c r="BB393">
        <f t="shared" si="357"/>
        <v>1.55938464645008</v>
      </c>
      <c r="BC393" s="30" t="str">
        <f t="shared" si="358"/>
        <v>-0,00417194877420998+0,0473514498888375i</v>
      </c>
      <c r="BD393" s="32">
        <f t="shared" si="359"/>
        <v>-26.4597516806065</v>
      </c>
      <c r="BE393" s="31">
        <f t="shared" si="360"/>
        <v>95.0351025256796</v>
      </c>
      <c r="BF393" s="30" t="str">
        <f t="shared" si="361"/>
        <v>0,000195710806534319-0,0421323460007808i</v>
      </c>
      <c r="BG393" s="68">
        <f t="shared" si="362"/>
        <v>-27.5075934505919</v>
      </c>
      <c r="BH393" s="31">
        <f t="shared" si="363"/>
        <v>-89.733854778263</v>
      </c>
      <c r="BI393" s="30" t="str">
        <f t="shared" si="369"/>
        <v>0,0608663035835566-0,0328679237820522i</v>
      </c>
      <c r="BJ393" s="68">
        <f t="shared" si="364"/>
        <v>-23.2011739299791</v>
      </c>
      <c r="BK393" s="31">
        <f t="shared" si="370"/>
        <v>-28.3691336395217</v>
      </c>
      <c r="BL393" s="32">
        <f t="shared" si="365"/>
        <v>-27.5075934505919</v>
      </c>
      <c r="BM393" s="31">
        <f t="shared" si="366"/>
        <v>-89.733854778263</v>
      </c>
      <c r="BO393">
        <f t="shared" si="367"/>
        <v>0</v>
      </c>
      <c r="BP393">
        <f t="shared" si="368"/>
        <v>0</v>
      </c>
    </row>
    <row r="394" spans="14:68">
      <c r="N394" s="7">
        <v>76</v>
      </c>
      <c r="O394" s="18">
        <f t="shared" si="371"/>
        <v>57543.9937337157</v>
      </c>
      <c r="P394" s="86" t="str">
        <f t="shared" si="319"/>
        <v>15</v>
      </c>
      <c r="Q394" s="4" t="str">
        <f t="shared" si="320"/>
        <v>1+105,454876317034i</v>
      </c>
      <c r="R394" s="4">
        <f t="shared" si="331"/>
        <v>105.459617574885</v>
      </c>
      <c r="S394" s="4">
        <f t="shared" si="332"/>
        <v>1.56131388214661</v>
      </c>
      <c r="T394" s="4" t="str">
        <f t="shared" si="321"/>
        <v>1+0,0723119151888234i</v>
      </c>
      <c r="U394" s="4">
        <f t="shared" si="333"/>
        <v>1.00261109762374</v>
      </c>
      <c r="V394" s="4">
        <f t="shared" si="334"/>
        <v>0.0721862691732574</v>
      </c>
      <c r="W394" t="str">
        <f t="shared" si="322"/>
        <v>1-6,32729257902205i</v>
      </c>
      <c r="X394" s="4">
        <f t="shared" si="335"/>
        <v>6.40582792311404</v>
      </c>
      <c r="Y394" s="4">
        <f t="shared" si="336"/>
        <v>-1.41404737567933</v>
      </c>
      <c r="Z394" t="str">
        <f t="shared" si="323"/>
        <v>0,976452898027904+0,335733891948108i</v>
      </c>
      <c r="AA394" s="4">
        <f t="shared" si="337"/>
        <v>1.03255871904203</v>
      </c>
      <c r="AB394" s="4">
        <f t="shared" si="338"/>
        <v>0.331167705071256</v>
      </c>
      <c r="AC394" s="67" t="str">
        <f t="shared" si="339"/>
        <v>-0,880901552678997+0,0819387505045588i</v>
      </c>
      <c r="AD394" s="68">
        <f t="shared" si="340"/>
        <v>-1.06403831468525</v>
      </c>
      <c r="AE394" s="31">
        <f t="shared" si="341"/>
        <v>174.685814150645</v>
      </c>
      <c r="AF394" s="32" t="str">
        <f t="shared" si="342"/>
        <v>75,4669735059805</v>
      </c>
      <c r="AG394" s="32" t="str">
        <f t="shared" si="324"/>
        <v>1+67,792420489522i</v>
      </c>
      <c r="AH394" s="32">
        <f t="shared" si="343"/>
        <v>67.7997955441472</v>
      </c>
      <c r="AI394" s="32">
        <f t="shared" si="344"/>
        <v>1.55604648496229</v>
      </c>
      <c r="AJ394" s="32" t="str">
        <f t="shared" si="325"/>
        <v>1+0,0723119151888234i</v>
      </c>
      <c r="AK394" s="32">
        <f t="shared" si="345"/>
        <v>1.00261109762374</v>
      </c>
      <c r="AL394" s="32">
        <f t="shared" si="346"/>
        <v>0.0721862691732574</v>
      </c>
      <c r="AM394" s="32" t="str">
        <f t="shared" si="326"/>
        <v>1-0,808471789727043i</v>
      </c>
      <c r="AN394" s="32">
        <f t="shared" si="347"/>
        <v>1.28593414869676</v>
      </c>
      <c r="AO394" s="32">
        <f t="shared" si="348"/>
        <v>-0.679885362366762</v>
      </c>
      <c r="AP394" s="30" t="str">
        <f t="shared" si="349"/>
        <v>-0,801942766883689-1,19011648683196i</v>
      </c>
      <c r="AQ394" s="32">
        <f t="shared" si="350"/>
        <v>3.13759572324971</v>
      </c>
      <c r="AR394" s="31">
        <f t="shared" si="351"/>
        <v>-123.973489568421</v>
      </c>
      <c r="AS394" t="str">
        <f t="shared" si="327"/>
        <v>-0,000338461538461538</v>
      </c>
      <c r="AT394" t="str">
        <f t="shared" si="328"/>
        <v>0,0632924500073214i</v>
      </c>
      <c r="AU394">
        <f t="shared" si="352"/>
        <v>0.0632924500073214</v>
      </c>
      <c r="AV394">
        <f t="shared" si="353"/>
        <v>1.5707963267949</v>
      </c>
      <c r="AW394" t="str">
        <f t="shared" si="329"/>
        <v>1+10,2721303284921i</v>
      </c>
      <c r="AX394">
        <f t="shared" si="354"/>
        <v>10.3206909403163</v>
      </c>
      <c r="AY394">
        <f t="shared" si="355"/>
        <v>1.47375133690207</v>
      </c>
      <c r="AZ394" t="str">
        <f t="shared" si="330"/>
        <v>1+89,666774834141i</v>
      </c>
      <c r="BA394">
        <f t="shared" si="356"/>
        <v>89.672350862217</v>
      </c>
      <c r="BB394">
        <f t="shared" si="357"/>
        <v>1.55964438622107</v>
      </c>
      <c r="BC394" s="30" t="str">
        <f t="shared" si="358"/>
        <v>-0,00398594295853359+0,0462917071106521i</v>
      </c>
      <c r="BD394" s="32">
        <f t="shared" si="359"/>
        <v>-26.6578560130465</v>
      </c>
      <c r="BE394" s="31">
        <f t="shared" si="360"/>
        <v>94.9213092154879</v>
      </c>
      <c r="BF394" s="30" t="str">
        <f t="shared" si="361"/>
        <v>-0,000281861298307678-0,0411050398555395i</v>
      </c>
      <c r="BG394" s="68">
        <f t="shared" si="362"/>
        <v>-27.7218943277317</v>
      </c>
      <c r="BH394" s="31">
        <f t="shared" si="363"/>
        <v>-90.3928766338674</v>
      </c>
      <c r="BI394" s="30" t="str">
        <f t="shared" si="369"/>
        <v>0,0582890219607903-0,0323795632535631i</v>
      </c>
      <c r="BJ394" s="68">
        <f t="shared" si="364"/>
        <v>-23.5202602897968</v>
      </c>
      <c r="BK394" s="31">
        <f t="shared" si="370"/>
        <v>-29.0521803529332</v>
      </c>
      <c r="BL394" s="32">
        <f t="shared" si="365"/>
        <v>-27.7218943277317</v>
      </c>
      <c r="BM394" s="31">
        <f t="shared" si="366"/>
        <v>-90.3928766338674</v>
      </c>
      <c r="BO394">
        <f t="shared" si="367"/>
        <v>0</v>
      </c>
      <c r="BP394">
        <f t="shared" si="368"/>
        <v>0</v>
      </c>
    </row>
    <row r="395" spans="14:68">
      <c r="N395" s="7">
        <v>77</v>
      </c>
      <c r="O395" s="18">
        <f t="shared" si="371"/>
        <v>58884.3655355589</v>
      </c>
      <c r="P395" s="86" t="str">
        <f t="shared" si="319"/>
        <v>15</v>
      </c>
      <c r="Q395" s="4" t="str">
        <f t="shared" si="320"/>
        <v>1+107,911235937055i</v>
      </c>
      <c r="R395" s="4">
        <f t="shared" si="331"/>
        <v>107.915869275389</v>
      </c>
      <c r="S395" s="4">
        <f t="shared" si="332"/>
        <v>1.56152971643874</v>
      </c>
      <c r="T395" s="4" t="str">
        <f t="shared" si="321"/>
        <v>1+0,0739962760711232i</v>
      </c>
      <c r="U395" s="4">
        <f t="shared" si="333"/>
        <v>1.00273398709348</v>
      </c>
      <c r="V395" s="4">
        <f t="shared" si="334"/>
        <v>0.0738616637574043</v>
      </c>
      <c r="W395" t="str">
        <f t="shared" si="322"/>
        <v>1-6,47467415622328i</v>
      </c>
      <c r="X395" s="4">
        <f t="shared" si="335"/>
        <v>6.55144300358827</v>
      </c>
      <c r="Y395" s="4">
        <f t="shared" si="336"/>
        <v>-1.41755919252035</v>
      </c>
      <c r="Z395" t="str">
        <f t="shared" si="323"/>
        <v>0,975343157301153+0,343554138901642i</v>
      </c>
      <c r="AA395" s="4">
        <f t="shared" si="337"/>
        <v>1.03408109974539</v>
      </c>
      <c r="AB395" s="4">
        <f t="shared" si="338"/>
        <v>0.338668299358656</v>
      </c>
      <c r="AC395" s="67" t="str">
        <f t="shared" si="339"/>
        <v>-0,878410331413851+0,0901787360740154i</v>
      </c>
      <c r="AD395" s="68">
        <f t="shared" si="340"/>
        <v>-1.08051904661762</v>
      </c>
      <c r="AE395" s="31">
        <f t="shared" si="341"/>
        <v>174.138476115401</v>
      </c>
      <c r="AF395" s="32" t="str">
        <f t="shared" si="342"/>
        <v>75,4669735059805</v>
      </c>
      <c r="AG395" s="32" t="str">
        <f t="shared" si="324"/>
        <v>1+69,371508816678i</v>
      </c>
      <c r="AH395" s="32">
        <f t="shared" si="343"/>
        <v>69.3787160122068</v>
      </c>
      <c r="AI395" s="32">
        <f t="shared" si="344"/>
        <v>1.55638218530839</v>
      </c>
      <c r="AJ395" s="32" t="str">
        <f t="shared" si="325"/>
        <v>1+0,0739962760711232i</v>
      </c>
      <c r="AK395" s="32">
        <f t="shared" si="345"/>
        <v>1.00273398709348</v>
      </c>
      <c r="AL395" s="32">
        <f t="shared" si="346"/>
        <v>0.0738616637574043</v>
      </c>
      <c r="AM395" s="32" t="str">
        <f t="shared" si="326"/>
        <v>1-0,827303516884362i</v>
      </c>
      <c r="AN395" s="32">
        <f t="shared" si="347"/>
        <v>1.29785635146931</v>
      </c>
      <c r="AO395" s="32">
        <f t="shared" si="348"/>
        <v>-0.691169126854554</v>
      </c>
      <c r="AP395" s="30" t="str">
        <f t="shared" si="349"/>
        <v>-0,802689523568975-1,16603422299575i</v>
      </c>
      <c r="AQ395" s="32">
        <f t="shared" si="350"/>
        <v>3.01886075269489</v>
      </c>
      <c r="AR395" s="31">
        <f t="shared" si="351"/>
        <v>-124.543242824913</v>
      </c>
      <c r="AS395" t="str">
        <f t="shared" si="327"/>
        <v>-0,000338461538461538</v>
      </c>
      <c r="AT395" t="str">
        <f t="shared" si="328"/>
        <v>0,064766720556772i</v>
      </c>
      <c r="AU395">
        <f t="shared" si="352"/>
        <v>0.064766720556772</v>
      </c>
      <c r="AV395">
        <f t="shared" si="353"/>
        <v>1.5707963267949</v>
      </c>
      <c r="AW395" t="str">
        <f t="shared" si="329"/>
        <v>1+10,5113989809406i</v>
      </c>
      <c r="AX395">
        <f t="shared" si="354"/>
        <v>10.5588592440907</v>
      </c>
      <c r="AY395">
        <f t="shared" si="355"/>
        <v>1.47594697308482</v>
      </c>
      <c r="AZ395" t="str">
        <f t="shared" si="330"/>
        <v>1+91,7553823281927i</v>
      </c>
      <c r="BA395">
        <f t="shared" si="356"/>
        <v>91.7608314379987</v>
      </c>
      <c r="BB395">
        <f t="shared" si="357"/>
        <v>1.55989821504711</v>
      </c>
      <c r="BC395" s="30" t="str">
        <f t="shared" si="358"/>
        <v>-0,00380815506667761+0,045254893028358i</v>
      </c>
      <c r="BD395" s="32">
        <f t="shared" si="359"/>
        <v>-26.8560448710746</v>
      </c>
      <c r="BE395" s="31">
        <f t="shared" si="360"/>
        <v>94.8100518493208</v>
      </c>
      <c r="BF395" s="30" t="str">
        <f t="shared" si="361"/>
        <v>-0,00073590630026648-0,0400957801938252i</v>
      </c>
      <c r="BG395" s="68">
        <f t="shared" si="362"/>
        <v>-27.9365639176922</v>
      </c>
      <c r="BH395" s="31">
        <f t="shared" si="363"/>
        <v>-91.0514720352784</v>
      </c>
      <c r="BI395" s="30" t="str">
        <f t="shared" si="369"/>
        <v>0,0558255202052254-0,0318851893898769i</v>
      </c>
      <c r="BJ395" s="68">
        <f t="shared" si="364"/>
        <v>-23.8371841183797</v>
      </c>
      <c r="BK395" s="31">
        <f t="shared" si="370"/>
        <v>-29.7331909755927</v>
      </c>
      <c r="BL395" s="32">
        <f t="shared" si="365"/>
        <v>-27.9365639176922</v>
      </c>
      <c r="BM395" s="31">
        <f t="shared" si="366"/>
        <v>-91.0514720352784</v>
      </c>
      <c r="BO395">
        <f t="shared" si="367"/>
        <v>0</v>
      </c>
      <c r="BP395">
        <f t="shared" si="368"/>
        <v>0</v>
      </c>
    </row>
    <row r="396" spans="14:68">
      <c r="N396" s="7">
        <v>78</v>
      </c>
      <c r="O396" s="18">
        <f t="shared" si="371"/>
        <v>60255.9586074359</v>
      </c>
      <c r="P396" s="86" t="str">
        <f t="shared" si="319"/>
        <v>15</v>
      </c>
      <c r="Q396" s="4" t="str">
        <f t="shared" si="320"/>
        <v>1+110,424811522743i</v>
      </c>
      <c r="R396" s="4">
        <f t="shared" si="331"/>
        <v>110.429339397795</v>
      </c>
      <c r="S396" s="4">
        <f t="shared" si="332"/>
        <v>1.56174063857684</v>
      </c>
      <c r="T396" s="4" t="str">
        <f t="shared" si="321"/>
        <v>1+0,0757198707584526i</v>
      </c>
      <c r="U396" s="4">
        <f t="shared" si="333"/>
        <v>1.00286265202553</v>
      </c>
      <c r="V396" s="4">
        <f t="shared" si="334"/>
        <v>0.0755756532933061</v>
      </c>
      <c r="W396" t="str">
        <f t="shared" si="322"/>
        <v>1-6,62548869136461i</v>
      </c>
      <c r="X396" s="4">
        <f t="shared" si="335"/>
        <v>6.70052985960068</v>
      </c>
      <c r="Y396" s="4">
        <f t="shared" si="336"/>
        <v>-1.4209947557047</v>
      </c>
      <c r="Z396" t="str">
        <f t="shared" si="323"/>
        <v>0,974181116105237+0,3515565428071i</v>
      </c>
      <c r="AA396" s="4">
        <f t="shared" si="337"/>
        <v>1.03567410403395</v>
      </c>
      <c r="AB396" s="4">
        <f t="shared" si="338"/>
        <v>0.346329005460752</v>
      </c>
      <c r="AC396" s="67" t="str">
        <f t="shared" si="339"/>
        <v>-0,875809670980723+0,0984107485062918i</v>
      </c>
      <c r="AD396" s="68">
        <f t="shared" si="340"/>
        <v>-1.09731455271078</v>
      </c>
      <c r="AE396" s="31">
        <f t="shared" si="341"/>
        <v>173.588826135164</v>
      </c>
      <c r="AF396" s="32" t="str">
        <f t="shared" si="342"/>
        <v>75,4669735059805</v>
      </c>
      <c r="AG396" s="32" t="str">
        <f t="shared" si="324"/>
        <v>1+70,9873788360494i</v>
      </c>
      <c r="AH396" s="32">
        <f t="shared" si="343"/>
        <v>70.9944219922438</v>
      </c>
      <c r="AI396" s="32">
        <f t="shared" si="344"/>
        <v>1.55671024732121</v>
      </c>
      <c r="AJ396" s="32" t="str">
        <f t="shared" si="325"/>
        <v>1+0,0757198707584526i</v>
      </c>
      <c r="AK396" s="32">
        <f t="shared" si="345"/>
        <v>1.00286265202553</v>
      </c>
      <c r="AL396" s="32">
        <f t="shared" si="346"/>
        <v>0.0755756532933061</v>
      </c>
      <c r="AM396" s="32" t="str">
        <f t="shared" si="326"/>
        <v>1-0,846573891316993i</v>
      </c>
      <c r="AN396" s="32">
        <f t="shared" si="347"/>
        <v>1.31022416153099</v>
      </c>
      <c r="AO396" s="32">
        <f t="shared" si="348"/>
        <v>-0.702501665753267</v>
      </c>
      <c r="AP396" s="30" t="str">
        <f t="shared" si="349"/>
        <v>-0,803402684317839-1,14256923690047i</v>
      </c>
      <c r="AQ396" s="32">
        <f t="shared" si="350"/>
        <v>2.90239535366426</v>
      </c>
      <c r="AR396" s="31">
        <f t="shared" si="351"/>
        <v>-125.113141677194</v>
      </c>
      <c r="AS396" t="str">
        <f t="shared" si="327"/>
        <v>-0,000338461538461538</v>
      </c>
      <c r="AT396" t="str">
        <f t="shared" si="328"/>
        <v>0,0662753312787507i</v>
      </c>
      <c r="AU396">
        <f t="shared" si="352"/>
        <v>0.0662753312787507</v>
      </c>
      <c r="AV396">
        <f t="shared" si="353"/>
        <v>1.5707963267949</v>
      </c>
      <c r="AW396" t="str">
        <f t="shared" si="329"/>
        <v>1+10,7562409162636i</v>
      </c>
      <c r="AX396">
        <f t="shared" si="354"/>
        <v>10.8026255442232</v>
      </c>
      <c r="AY396">
        <f t="shared" si="355"/>
        <v>1.4780935171804</v>
      </c>
      <c r="AZ396" t="str">
        <f t="shared" si="330"/>
        <v>1+93,8926397404812i</v>
      </c>
      <c r="BA396">
        <f t="shared" si="356"/>
        <v>93.897964820521</v>
      </c>
      <c r="BB396">
        <f t="shared" si="357"/>
        <v>1.5601462673807</v>
      </c>
      <c r="BC396" s="30" t="str">
        <f t="shared" si="358"/>
        <v>-0,00363822857858449+0,0442405638413548i</v>
      </c>
      <c r="BD396" s="32">
        <f t="shared" si="359"/>
        <v>-27.0543145196201</v>
      </c>
      <c r="BE396" s="31">
        <f t="shared" si="360"/>
        <v>94.7012762839179</v>
      </c>
      <c r="BF396" s="30" t="str">
        <f t="shared" si="361"/>
        <v>-0,00116735122760537-0,0391043544595541i</v>
      </c>
      <c r="BG396" s="68">
        <f t="shared" si="362"/>
        <v>-28.1516290723309</v>
      </c>
      <c r="BH396" s="31">
        <f t="shared" si="363"/>
        <v>-91.709897580918</v>
      </c>
      <c r="BI396" s="30" t="str">
        <f t="shared" si="369"/>
        <v>0,0534708698744599-0,0313860596951764i</v>
      </c>
      <c r="BJ396" s="68">
        <f t="shared" si="364"/>
        <v>-24.1519191659559</v>
      </c>
      <c r="BK396" s="31">
        <f t="shared" si="370"/>
        <v>-30.4118653932757</v>
      </c>
      <c r="BL396" s="32">
        <f t="shared" si="365"/>
        <v>-28.1516290723309</v>
      </c>
      <c r="BM396" s="31">
        <f t="shared" si="366"/>
        <v>-91.709897580918</v>
      </c>
      <c r="BO396">
        <f t="shared" si="367"/>
        <v>0</v>
      </c>
      <c r="BP396">
        <f t="shared" si="368"/>
        <v>0</v>
      </c>
    </row>
    <row r="397" spans="14:68">
      <c r="N397" s="7">
        <v>79</v>
      </c>
      <c r="O397" s="18">
        <f t="shared" si="371"/>
        <v>61659.5001861482</v>
      </c>
      <c r="P397" s="86" t="str">
        <f t="shared" si="319"/>
        <v>15</v>
      </c>
      <c r="Q397" s="4" t="str">
        <f t="shared" si="320"/>
        <v>1+112,996935805146i</v>
      </c>
      <c r="R397" s="4">
        <f t="shared" si="331"/>
        <v>113.001360617261</v>
      </c>
      <c r="S397" s="4">
        <f t="shared" si="332"/>
        <v>1.56194676031952</v>
      </c>
      <c r="T397" s="4" t="str">
        <f t="shared" si="321"/>
        <v>1+0,0774836131235288i</v>
      </c>
      <c r="U397" s="4">
        <f t="shared" si="333"/>
        <v>1.00299736305869</v>
      </c>
      <c r="V397" s="4">
        <f t="shared" si="334"/>
        <v>0.0773291062560303</v>
      </c>
      <c r="W397" t="str">
        <f t="shared" si="322"/>
        <v>1-6,77981614830878i</v>
      </c>
      <c r="X397" s="4">
        <f t="shared" si="335"/>
        <v>6.85316766210112</v>
      </c>
      <c r="Y397" s="4">
        <f t="shared" si="336"/>
        <v>-1.42435556224404</v>
      </c>
      <c r="Z397" t="str">
        <f t="shared" si="323"/>
        <v>0,972964309594982+0,359745346644954i</v>
      </c>
      <c r="AA397" s="4">
        <f t="shared" si="337"/>
        <v>1.03734095753438</v>
      </c>
      <c r="AB397" s="4">
        <f t="shared" si="338"/>
        <v>0.354152584613971</v>
      </c>
      <c r="AC397" s="67" t="str">
        <f t="shared" si="339"/>
        <v>-0,873095904321495+0,106635624474806i</v>
      </c>
      <c r="AD397" s="68">
        <f t="shared" si="340"/>
        <v>-1.1144558217375</v>
      </c>
      <c r="AE397" s="31">
        <f t="shared" si="341"/>
        <v>173.036663586951</v>
      </c>
      <c r="AF397" s="32" t="str">
        <f t="shared" si="342"/>
        <v>75,4669735059805</v>
      </c>
      <c r="AG397" s="32" t="str">
        <f t="shared" si="324"/>
        <v>1+72,6408873033083i</v>
      </c>
      <c r="AH397" s="32">
        <f t="shared" si="343"/>
        <v>72.6477701530607</v>
      </c>
      <c r="AI397" s="32">
        <f t="shared" si="344"/>
        <v>1.55703084466093</v>
      </c>
      <c r="AJ397" s="32" t="str">
        <f t="shared" si="325"/>
        <v>1+0,0774836131235288i</v>
      </c>
      <c r="AK397" s="32">
        <f t="shared" si="345"/>
        <v>1.00299736305869</v>
      </c>
      <c r="AL397" s="32">
        <f t="shared" si="346"/>
        <v>0.0773291062560303</v>
      </c>
      <c r="AM397" s="32" t="str">
        <f t="shared" si="326"/>
        <v>1-0,866293130432526i</v>
      </c>
      <c r="AN397" s="32">
        <f t="shared" si="347"/>
        <v>1.32305093924406</v>
      </c>
      <c r="AO397" s="32">
        <f t="shared" si="348"/>
        <v>-0.713877345333055</v>
      </c>
      <c r="AP397" s="30" t="str">
        <f t="shared" si="349"/>
        <v>-0,804083759995723-1,11970915175367i</v>
      </c>
      <c r="AQ397" s="32">
        <f t="shared" si="350"/>
        <v>2.78822003257627</v>
      </c>
      <c r="AR397" s="31">
        <f t="shared" si="351"/>
        <v>-125.682823526359</v>
      </c>
      <c r="AS397" t="str">
        <f t="shared" si="327"/>
        <v>-0,000338461538461538</v>
      </c>
      <c r="AT397" t="str">
        <f t="shared" si="328"/>
        <v>0,067819082058631i</v>
      </c>
      <c r="AU397">
        <f t="shared" si="352"/>
        <v>0.067819082058631</v>
      </c>
      <c r="AV397">
        <f t="shared" si="353"/>
        <v>1.5707963267949</v>
      </c>
      <c r="AW397" t="str">
        <f t="shared" si="329"/>
        <v>1+11,006785952896i</v>
      </c>
      <c r="AX397">
        <f t="shared" si="354"/>
        <v>11.0521191186518</v>
      </c>
      <c r="AY397">
        <f t="shared" si="355"/>
        <v>1.48019202814706</v>
      </c>
      <c r="AZ397" t="str">
        <f t="shared" si="330"/>
        <v>1+96,0796802731757i</v>
      </c>
      <c r="BA397">
        <f t="shared" si="356"/>
        <v>96.0848841462364</v>
      </c>
      <c r="BB397">
        <f t="shared" si="357"/>
        <v>1.56038867462028</v>
      </c>
      <c r="BC397" s="30" t="str">
        <f t="shared" si="358"/>
        <v>-0,0034758218685216+0,0432482808056941i</v>
      </c>
      <c r="BD397" s="32">
        <f t="shared" si="359"/>
        <v>-27.2526613857071</v>
      </c>
      <c r="BE397" s="31">
        <f t="shared" si="360"/>
        <v>94.5949293740184</v>
      </c>
      <c r="BF397" s="30" t="str">
        <f t="shared" si="361"/>
        <v>-0,00157708159361966-0,0381305432759104i</v>
      </c>
      <c r="BG397" s="68">
        <f t="shared" si="362"/>
        <v>-28.3671172074446</v>
      </c>
      <c r="BH397" s="31">
        <f t="shared" si="363"/>
        <v>-92.3684070390304</v>
      </c>
      <c r="BI397" s="30" t="str">
        <f t="shared" si="369"/>
        <v>0,0512203477328645-0,0308833306875442i</v>
      </c>
      <c r="BJ397" s="68">
        <f t="shared" si="364"/>
        <v>-24.4644413531308</v>
      </c>
      <c r="BK397" s="31">
        <f t="shared" si="370"/>
        <v>-31.0878941523405</v>
      </c>
      <c r="BL397" s="32">
        <f t="shared" si="365"/>
        <v>-28.3671172074446</v>
      </c>
      <c r="BM397" s="31">
        <f t="shared" si="366"/>
        <v>-92.3684070390304</v>
      </c>
      <c r="BO397">
        <f t="shared" si="367"/>
        <v>0</v>
      </c>
      <c r="BP397">
        <f t="shared" si="368"/>
        <v>0</v>
      </c>
    </row>
    <row r="398" spans="14:68">
      <c r="N398" s="7">
        <v>80</v>
      </c>
      <c r="O398" s="18">
        <f t="shared" si="371"/>
        <v>63095.7344480193</v>
      </c>
      <c r="P398" s="86" t="str">
        <f t="shared" si="319"/>
        <v>15</v>
      </c>
      <c r="Q398" s="4" t="str">
        <f t="shared" si="320"/>
        <v>1+115,628972558604i</v>
      </c>
      <c r="R398" s="4">
        <f t="shared" si="331"/>
        <v>115.633296653509</v>
      </c>
      <c r="S398" s="4">
        <f t="shared" si="332"/>
        <v>1.56214819088515</v>
      </c>
      <c r="T398" s="4" t="str">
        <f t="shared" si="321"/>
        <v>1+0,0792884383259i</v>
      </c>
      <c r="U398" s="4">
        <f t="shared" si="333"/>
        <v>1.00313840343801</v>
      </c>
      <c r="V398" s="4">
        <f t="shared" si="334"/>
        <v>0.0791229091961398</v>
      </c>
      <c r="W398" t="str">
        <f t="shared" si="322"/>
        <v>1-6,93773835351626i</v>
      </c>
      <c r="X398" s="4">
        <f t="shared" si="335"/>
        <v>7.00943745687559</v>
      </c>
      <c r="Y398" s="4">
        <f t="shared" si="336"/>
        <v>-1.42764309024215</v>
      </c>
      <c r="Z398" t="str">
        <f t="shared" si="323"/>
        <v>0,97169015676064+0,368124892227392i</v>
      </c>
      <c r="AA398" s="4">
        <f t="shared" si="337"/>
        <v>1.03908502877433</v>
      </c>
      <c r="AB398" s="4">
        <f t="shared" si="338"/>
        <v>0.362141801718324</v>
      </c>
      <c r="AC398" s="67" t="str">
        <f t="shared" si="339"/>
        <v>-0,870265281384289+0,114853996730719i</v>
      </c>
      <c r="AD398" s="68">
        <f t="shared" si="340"/>
        <v>-1.13197427704398</v>
      </c>
      <c r="AE398" s="31">
        <f t="shared" si="341"/>
        <v>172.481789902406</v>
      </c>
      <c r="AF398" s="32" t="str">
        <f t="shared" si="342"/>
        <v>75,4669735059805</v>
      </c>
      <c r="AG398" s="32" t="str">
        <f t="shared" si="324"/>
        <v>1+74,3329109305313i</v>
      </c>
      <c r="AH398" s="32">
        <f t="shared" si="343"/>
        <v>74.3396371218363</v>
      </c>
      <c r="AI398" s="32">
        <f t="shared" si="344"/>
        <v>1.55734414704874</v>
      </c>
      <c r="AJ398" s="32" t="str">
        <f t="shared" si="325"/>
        <v>1+0,0792884383259i</v>
      </c>
      <c r="AK398" s="32">
        <f t="shared" si="345"/>
        <v>1.00313840343801</v>
      </c>
      <c r="AL398" s="32">
        <f t="shared" si="346"/>
        <v>0.0791229091961398</v>
      </c>
      <c r="AM398" s="32" t="str">
        <f t="shared" si="326"/>
        <v>1-0,88647168963256i</v>
      </c>
      <c r="AN398" s="32">
        <f t="shared" si="347"/>
        <v>1.33635027463611</v>
      </c>
      <c r="AO398" s="32">
        <f t="shared" si="348"/>
        <v>-0.72529042132801</v>
      </c>
      <c r="AP398" s="30" t="str">
        <f t="shared" si="349"/>
        <v>-0,80473419357353-1,09744190717676i</v>
      </c>
      <c r="AQ398" s="32">
        <f t="shared" si="350"/>
        <v>2.67635321926318</v>
      </c>
      <c r="AR398" s="31">
        <f t="shared" si="351"/>
        <v>-126.251918178919</v>
      </c>
      <c r="AS398" t="str">
        <f t="shared" si="327"/>
        <v>-0,000338461538461538</v>
      </c>
      <c r="AT398" t="str">
        <f t="shared" si="328"/>
        <v>0,0693987914135105i</v>
      </c>
      <c r="AU398">
        <f t="shared" si="352"/>
        <v>0.0693987914135105</v>
      </c>
      <c r="AV398">
        <f t="shared" si="353"/>
        <v>1.5707963267949</v>
      </c>
      <c r="AW398" t="str">
        <f t="shared" si="329"/>
        <v>1+11,2631669331327i</v>
      </c>
      <c r="AX398">
        <f t="shared" si="354"/>
        <v>11.3074722800285</v>
      </c>
      <c r="AY398">
        <f t="shared" si="355"/>
        <v>1.48224354467172</v>
      </c>
      <c r="AZ398" t="str">
        <f t="shared" si="330"/>
        <v>1+98,317663524116i</v>
      </c>
      <c r="BA398">
        <f t="shared" si="356"/>
        <v>98.3227489487621</v>
      </c>
      <c r="BB398">
        <f t="shared" si="357"/>
        <v>1.56062556517938</v>
      </c>
      <c r="BC398" s="30" t="str">
        <f t="shared" si="358"/>
        <v>-0,0033206076331777+0,0422776104377524i</v>
      </c>
      <c r="BD398" s="32">
        <f t="shared" si="359"/>
        <v>-27.4510820516779</v>
      </c>
      <c r="BE398" s="31">
        <f t="shared" si="360"/>
        <v>94.4909589647968</v>
      </c>
      <c r="BF398" s="30" t="str">
        <f t="shared" si="361"/>
        <v>-0,00196594299474602-0,0371741216021109i</v>
      </c>
      <c r="BG398" s="68">
        <f t="shared" si="362"/>
        <v>-28.5830563287219</v>
      </c>
      <c r="BH398" s="31">
        <f t="shared" si="363"/>
        <v>-93.0272511327969</v>
      </c>
      <c r="BI398" s="30" t="str">
        <f t="shared" si="369"/>
        <v>0,0490694279355425-0,0303780647679003i</v>
      </c>
      <c r="BJ398" s="68">
        <f t="shared" si="364"/>
        <v>-24.7747288324147</v>
      </c>
      <c r="BK398" s="31">
        <f t="shared" si="370"/>
        <v>-31.7609592141219</v>
      </c>
      <c r="BL398" s="32">
        <f t="shared" si="365"/>
        <v>-28.5830563287219</v>
      </c>
      <c r="BM398" s="31">
        <f t="shared" si="366"/>
        <v>-93.0272511327969</v>
      </c>
      <c r="BO398">
        <f t="shared" si="367"/>
        <v>0</v>
      </c>
      <c r="BP398">
        <f t="shared" si="368"/>
        <v>0</v>
      </c>
    </row>
    <row r="399" spans="14:68">
      <c r="N399" s="7">
        <v>81</v>
      </c>
      <c r="O399" s="18">
        <f t="shared" si="371"/>
        <v>64565.4229034657</v>
      </c>
      <c r="P399" s="86" t="str">
        <f t="shared" si="319"/>
        <v>15</v>
      </c>
      <c r="Q399" s="4" t="str">
        <f t="shared" si="320"/>
        <v>1+118,322317323843i</v>
      </c>
      <c r="R399" s="4">
        <f t="shared" si="331"/>
        <v>118.326542993887</v>
      </c>
      <c r="S399" s="4">
        <f t="shared" si="332"/>
        <v>1.56234503700947</v>
      </c>
      <c r="T399" s="4" t="str">
        <f t="shared" si="321"/>
        <v>1+0,0811353033077784i</v>
      </c>
      <c r="U399" s="4">
        <f t="shared" si="333"/>
        <v>1.00328606959473</v>
      </c>
      <c r="V399" s="4">
        <f t="shared" si="334"/>
        <v>0.0809579670101393</v>
      </c>
      <c r="W399" t="str">
        <f t="shared" si="322"/>
        <v>1-7,09933903943062i</v>
      </c>
      <c r="X399" s="4">
        <f t="shared" si="335"/>
        <v>7.16942220801535</v>
      </c>
      <c r="Y399" s="4">
        <f t="shared" si="336"/>
        <v>-1.43085879839334</v>
      </c>
      <c r="Z399" t="str">
        <f t="shared" si="323"/>
        <v>0,97035595495322+0,376699622500399i</v>
      </c>
      <c r="AA399" s="4">
        <f t="shared" si="337"/>
        <v>1.04090983514669</v>
      </c>
      <c r="AB399" s="4">
        <f t="shared" si="338"/>
        <v>0.37029942202537</v>
      </c>
      <c r="AC399" s="67" t="str">
        <f t="shared" si="339"/>
        <v>-0,867313973453716+0,123066285512856i</v>
      </c>
      <c r="AD399" s="68">
        <f t="shared" si="340"/>
        <v>-1.1499018084129</v>
      </c>
      <c r="AE399" s="31">
        <f t="shared" si="341"/>
        <v>171.924008798501</v>
      </c>
      <c r="AF399" s="32" t="str">
        <f t="shared" si="342"/>
        <v>75,4669735059805</v>
      </c>
      <c r="AG399" s="32" t="str">
        <f t="shared" si="324"/>
        <v>1+76,0643468510423i</v>
      </c>
      <c r="AH399" s="32">
        <f t="shared" si="343"/>
        <v>76.0709199489244</v>
      </c>
      <c r="AI399" s="32">
        <f t="shared" si="344"/>
        <v>1.55765032035556</v>
      </c>
      <c r="AJ399" s="32" t="str">
        <f t="shared" si="325"/>
        <v>1+0,0811353033077784i</v>
      </c>
      <c r="AK399" s="32">
        <f t="shared" si="345"/>
        <v>1.00328606959473</v>
      </c>
      <c r="AL399" s="32">
        <f t="shared" si="346"/>
        <v>0.0809579670101393</v>
      </c>
      <c r="AM399" s="32" t="str">
        <f t="shared" si="326"/>
        <v>1-0,90712026785628i</v>
      </c>
      <c r="AN399" s="32">
        <f t="shared" si="347"/>
        <v>1.35013598587537</v>
      </c>
      <c r="AO399" s="32">
        <f t="shared" si="348"/>
        <v>-0.736735052833412</v>
      </c>
      <c r="AP399" s="30" t="str">
        <f t="shared" si="349"/>
        <v>-0,805355363174101-1,07575575309804i</v>
      </c>
      <c r="AQ399" s="32">
        <f t="shared" si="350"/>
        <v>2.56681120691364</v>
      </c>
      <c r="AR399" s="31">
        <f t="shared" si="351"/>
        <v>-126.820048632636</v>
      </c>
      <c r="AS399" t="str">
        <f t="shared" si="327"/>
        <v>-0,000338461538461538</v>
      </c>
      <c r="AT399" t="str">
        <f t="shared" si="328"/>
        <v>0,0710152969261992i</v>
      </c>
      <c r="AU399">
        <f t="shared" si="352"/>
        <v>0.0710152969261992</v>
      </c>
      <c r="AV399">
        <f t="shared" si="353"/>
        <v>1.5707963267949</v>
      </c>
      <c r="AW399" t="str">
        <f t="shared" si="329"/>
        <v>1+11,5255197935631i</v>
      </c>
      <c r="AX399">
        <f t="shared" si="354"/>
        <v>11.5688204460012</v>
      </c>
      <c r="AY399">
        <f t="shared" si="355"/>
        <v>1.48424908538331</v>
      </c>
      <c r="AZ399" t="str">
        <f t="shared" si="330"/>
        <v>1+100,607776101645i</v>
      </c>
      <c r="BA399">
        <f t="shared" si="356"/>
        <v>100.612745773678</v>
      </c>
      <c r="BB399">
        <f t="shared" si="357"/>
        <v>1.56085706455409</v>
      </c>
      <c r="BC399" s="30" t="str">
        <f t="shared" si="358"/>
        <v>-0,0031722723372019+0,0413281246938952i</v>
      </c>
      <c r="BD399" s="32">
        <f t="shared" si="359"/>
        <v>-27.6495732486771</v>
      </c>
      <c r="BE399" s="31">
        <f t="shared" si="360"/>
        <v>94.3893138835119</v>
      </c>
      <c r="BF399" s="30" t="str">
        <f t="shared" si="361"/>
        <v>-0,00233474266763394-0,0362348598168275i</v>
      </c>
      <c r="BG399" s="68">
        <f t="shared" si="362"/>
        <v>-28.79947505709</v>
      </c>
      <c r="BH399" s="31">
        <f t="shared" si="363"/>
        <v>-93.6866773179868</v>
      </c>
      <c r="BI399" s="30" t="str">
        <f t="shared" si="369"/>
        <v>0,0470137744444253-0,0298712366550178i</v>
      </c>
      <c r="BJ399" s="68">
        <f t="shared" si="364"/>
        <v>-25.0827620417635</v>
      </c>
      <c r="BK399" s="31">
        <f t="shared" si="370"/>
        <v>-32.430734749124</v>
      </c>
      <c r="BL399" s="32">
        <f t="shared" si="365"/>
        <v>-28.79947505709</v>
      </c>
      <c r="BM399" s="31">
        <f t="shared" si="366"/>
        <v>-93.6866773179868</v>
      </c>
      <c r="BO399">
        <f t="shared" si="367"/>
        <v>0</v>
      </c>
      <c r="BP399">
        <f t="shared" si="368"/>
        <v>0</v>
      </c>
    </row>
    <row r="400" spans="14:68">
      <c r="N400" s="7">
        <v>82</v>
      </c>
      <c r="O400" s="18">
        <f t="shared" si="371"/>
        <v>66069.3448007597</v>
      </c>
      <c r="P400" s="86" t="str">
        <f t="shared" si="319"/>
        <v>15</v>
      </c>
      <c r="Q400" s="4" t="str">
        <f t="shared" si="320"/>
        <v>1+121,078398147909i</v>
      </c>
      <c r="R400" s="4">
        <f t="shared" si="331"/>
        <v>121.082527633278</v>
      </c>
      <c r="S400" s="4">
        <f t="shared" si="332"/>
        <v>1.56253740300184</v>
      </c>
      <c r="T400" s="4" t="str">
        <f t="shared" si="321"/>
        <v>1+0,0830251873014232i</v>
      </c>
      <c r="U400" s="4">
        <f t="shared" si="333"/>
        <v>1.00344067175217</v>
      </c>
      <c r="V400" s="4">
        <f t="shared" si="334"/>
        <v>0.082835203206868</v>
      </c>
      <c r="W400" t="str">
        <f t="shared" si="322"/>
        <v>1-7,26470388887454i</v>
      </c>
      <c r="X400" s="4">
        <f t="shared" si="335"/>
        <v>7.33320684237318</v>
      </c>
      <c r="Y400" s="4">
        <f t="shared" si="336"/>
        <v>-1.43400412554614</v>
      </c>
      <c r="Z400" t="str">
        <f t="shared" si="323"/>
        <v>0,96895887415181+0,385474083899464i</v>
      </c>
      <c r="AA400" s="4">
        <f t="shared" si="337"/>
        <v>1.04281904909513</v>
      </c>
      <c r="AB400" s="4">
        <f t="shared" si="338"/>
        <v>0.378628207603719</v>
      </c>
      <c r="AC400" s="67" t="str">
        <f t="shared" si="339"/>
        <v>-0,864238078137424+0,131272689733862i</v>
      </c>
      <c r="AD400" s="68">
        <f t="shared" si="340"/>
        <v>-1.16827080294397</v>
      </c>
      <c r="AE400" s="31">
        <f t="shared" si="341"/>
        <v>171.363126517086</v>
      </c>
      <c r="AF400" s="32" t="str">
        <f t="shared" si="342"/>
        <v>75,4669735059805</v>
      </c>
      <c r="AG400" s="32" t="str">
        <f t="shared" si="324"/>
        <v>1+77,8361130950843i</v>
      </c>
      <c r="AH400" s="32">
        <f t="shared" si="343"/>
        <v>77.8425365834821</v>
      </c>
      <c r="AI400" s="32">
        <f t="shared" si="344"/>
        <v>1.55794952668877</v>
      </c>
      <c r="AJ400" s="32" t="str">
        <f t="shared" si="325"/>
        <v>1+0,0830251873014232i</v>
      </c>
      <c r="AK400" s="32">
        <f t="shared" si="345"/>
        <v>1.00344067175217</v>
      </c>
      <c r="AL400" s="32">
        <f t="shared" si="346"/>
        <v>0.082835203206868</v>
      </c>
      <c r="AM400" s="32" t="str">
        <f t="shared" si="326"/>
        <v>1-0,928249813253173i</v>
      </c>
      <c r="AN400" s="32">
        <f t="shared" si="347"/>
        <v>1.36442211789627</v>
      </c>
      <c r="AO400" s="32">
        <f t="shared" si="348"/>
        <v>-0.748205316804699</v>
      </c>
      <c r="AP400" s="30" t="str">
        <f t="shared" si="349"/>
        <v>-0,805948584982384-1,05463924379099i</v>
      </c>
      <c r="AQ400" s="32">
        <f t="shared" si="350"/>
        <v>2.45960810082383</v>
      </c>
      <c r="AR400" s="31">
        <f t="shared" si="351"/>
        <v>-127.386831896967</v>
      </c>
      <c r="AS400" t="str">
        <f t="shared" si="327"/>
        <v>-0,000338461538461538</v>
      </c>
      <c r="AT400" t="str">
        <f t="shared" si="328"/>
        <v>0,0726694556893166i</v>
      </c>
      <c r="AU400">
        <f t="shared" si="352"/>
        <v>0.0726694556893166</v>
      </c>
      <c r="AV400">
        <f t="shared" si="353"/>
        <v>1.5707963267949</v>
      </c>
      <c r="AW400" t="str">
        <f t="shared" si="329"/>
        <v>1+11,7939836371462i</v>
      </c>
      <c r="AX400">
        <f t="shared" si="354"/>
        <v>11.836302211133</v>
      </c>
      <c r="AY400">
        <f t="shared" si="355"/>
        <v>1.48620964907689</v>
      </c>
      <c r="AZ400" t="str">
        <f t="shared" si="330"/>
        <v>1+102,951232253765i</v>
      </c>
      <c r="BA400">
        <f t="shared" si="356"/>
        <v>102.95608880765</v>
      </c>
      <c r="BB400">
        <f t="shared" si="357"/>
        <v>1.56108329538914</v>
      </c>
      <c r="BC400" s="30" t="str">
        <f t="shared" si="358"/>
        <v>-0,00303051567608481+0,0403994011277725i</v>
      </c>
      <c r="BD400" s="32">
        <f t="shared" si="359"/>
        <v>-27.8481318503879</v>
      </c>
      <c r="BE400" s="31">
        <f t="shared" si="360"/>
        <v>94.2899439304467</v>
      </c>
      <c r="BF400" s="30" t="str">
        <f t="shared" si="361"/>
        <v>-0,00268425100601504-0,0353125247326493i</v>
      </c>
      <c r="BG400" s="68">
        <f t="shared" si="362"/>
        <v>-29.0164026533318</v>
      </c>
      <c r="BH400" s="31">
        <f t="shared" si="363"/>
        <v>-94.3469295524674</v>
      </c>
      <c r="BI400" s="30" t="str">
        <f t="shared" si="369"/>
        <v>0,0450492336759103-0,0293637394121411i</v>
      </c>
      <c r="BJ400" s="68">
        <f t="shared" si="364"/>
        <v>-25.388523749564</v>
      </c>
      <c r="BK400" s="31">
        <f t="shared" si="370"/>
        <v>-33.09688796652</v>
      </c>
      <c r="BL400" s="32">
        <f t="shared" si="365"/>
        <v>-29.0164026533318</v>
      </c>
      <c r="BM400" s="31">
        <f t="shared" si="366"/>
        <v>-94.3469295524674</v>
      </c>
      <c r="BO400">
        <f t="shared" si="367"/>
        <v>0</v>
      </c>
      <c r="BP400">
        <f t="shared" si="368"/>
        <v>0</v>
      </c>
    </row>
    <row r="401" spans="14:68">
      <c r="N401" s="7">
        <v>83</v>
      </c>
      <c r="O401" s="18">
        <f t="shared" si="371"/>
        <v>67608.2975391983</v>
      </c>
      <c r="P401" s="86" t="str">
        <f t="shared" si="319"/>
        <v>15</v>
      </c>
      <c r="Q401" s="4" t="str">
        <f t="shared" si="320"/>
        <v>1+123,898676341334i</v>
      </c>
      <c r="R401" s="4">
        <f t="shared" si="331"/>
        <v>123.902711831237</v>
      </c>
      <c r="S401" s="4">
        <f t="shared" si="332"/>
        <v>1.56272539080027</v>
      </c>
      <c r="T401" s="4" t="str">
        <f t="shared" si="321"/>
        <v>1+0,0849590923483434i</v>
      </c>
      <c r="U401" s="4">
        <f t="shared" si="333"/>
        <v>1.0036025345587</v>
      </c>
      <c r="V401" s="4">
        <f t="shared" si="334"/>
        <v>0.0847555601690554</v>
      </c>
      <c r="W401" t="str">
        <f t="shared" si="322"/>
        <v>1-7,43392058048005i</v>
      </c>
      <c r="X401" s="4">
        <f t="shared" si="335"/>
        <v>7.50087829503218</v>
      </c>
      <c r="Y401" s="4">
        <f t="shared" si="336"/>
        <v>-1.43708049032812</v>
      </c>
      <c r="Z401" t="str">
        <f t="shared" si="323"/>
        <v>0,96749595096072+0,394452928760165i</v>
      </c>
      <c r="AA401" s="4">
        <f t="shared" si="337"/>
        <v>1.0448165045274</v>
      </c>
      <c r="AB401" s="4">
        <f t="shared" si="338"/>
        <v>0.387130913575787</v>
      </c>
      <c r="AC401" s="67" t="str">
        <f t="shared" si="339"/>
        <v>-0,86103362505629+0,139473177973966i</v>
      </c>
      <c r="AD401" s="68">
        <f t="shared" si="340"/>
        <v>-1.18711417482492</v>
      </c>
      <c r="AE401" s="31">
        <f t="shared" si="341"/>
        <v>170.798952073838</v>
      </c>
      <c r="AF401" s="32" t="str">
        <f t="shared" si="342"/>
        <v>75,4669735059805</v>
      </c>
      <c r="AG401" s="32" t="str">
        <f t="shared" si="324"/>
        <v>1+79,649149076572i</v>
      </c>
      <c r="AH401" s="32">
        <f t="shared" si="343"/>
        <v>79.6554263601796</v>
      </c>
      <c r="AI401" s="32">
        <f t="shared" si="344"/>
        <v>1.55824192447713</v>
      </c>
      <c r="AJ401" s="32" t="str">
        <f t="shared" si="325"/>
        <v>1+0,0849590923483434i</v>
      </c>
      <c r="AK401" s="32">
        <f t="shared" si="345"/>
        <v>1.0036025345587</v>
      </c>
      <c r="AL401" s="32">
        <f t="shared" si="346"/>
        <v>0.0847555601690554</v>
      </c>
      <c r="AM401" s="32" t="str">
        <f t="shared" si="326"/>
        <v>1-0,94987152898789i</v>
      </c>
      <c r="AN401" s="32">
        <f t="shared" si="347"/>
        <v>1.37922294121791</v>
      </c>
      <c r="AO401" s="32">
        <f t="shared" si="348"/>
        <v>-0.759695223073406</v>
      </c>
      <c r="AP401" s="30" t="str">
        <f t="shared" si="349"/>
        <v>-0,806515116025371-1,03408123205616i</v>
      </c>
      <c r="AQ401" s="32">
        <f t="shared" si="350"/>
        <v>2.35475577645565</v>
      </c>
      <c r="AR401" s="31">
        <f t="shared" si="351"/>
        <v>-127.951879843284</v>
      </c>
      <c r="AS401" t="str">
        <f t="shared" si="327"/>
        <v>-0,000338461538461538</v>
      </c>
      <c r="AT401" t="str">
        <f t="shared" si="328"/>
        <v>0,0743621447597344i</v>
      </c>
      <c r="AU401">
        <f t="shared" si="352"/>
        <v>0.0743621447597344</v>
      </c>
      <c r="AV401">
        <f t="shared" si="353"/>
        <v>1.5707963267949</v>
      </c>
      <c r="AW401" t="str">
        <f t="shared" si="329"/>
        <v>1+12,0687008069656i</v>
      </c>
      <c r="AX401">
        <f t="shared" si="354"/>
        <v>12.1100594205005</v>
      </c>
      <c r="AY401">
        <f t="shared" si="355"/>
        <v>1.48812621494755</v>
      </c>
      <c r="AZ401" t="str">
        <f t="shared" si="330"/>
        <v>1+105,349274511946i</v>
      </c>
      <c r="BA401">
        <f t="shared" si="356"/>
        <v>105.354020522206</v>
      </c>
      <c r="BB401">
        <f t="shared" si="357"/>
        <v>1.56130437754242</v>
      </c>
      <c r="BC401" s="30" t="str">
        <f t="shared" si="358"/>
        <v>-0,00289505005622965+0,0394910230267892i</v>
      </c>
      <c r="BD401" s="32">
        <f t="shared" si="359"/>
        <v>-28.0467548670142</v>
      </c>
      <c r="BE401" s="31">
        <f t="shared" si="360"/>
        <v>94.1927998692081</v>
      </c>
      <c r="BF401" s="30" t="str">
        <f t="shared" si="361"/>
        <v>-0,00301520303835453-0,0344068805456738i</v>
      </c>
      <c r="BG401" s="68">
        <f t="shared" si="362"/>
        <v>-29.2338690418391</v>
      </c>
      <c r="BH401" s="31">
        <f t="shared" si="363"/>
        <v>-95.0082480569541</v>
      </c>
      <c r="BI401" s="30" t="str">
        <f t="shared" si="369"/>
        <v>0,0431718273786997-0,0288563900894013i</v>
      </c>
      <c r="BJ401" s="68">
        <f t="shared" si="364"/>
        <v>-25.6919990905585</v>
      </c>
      <c r="BK401" s="31">
        <f t="shared" si="370"/>
        <v>-33.7590799740761</v>
      </c>
      <c r="BL401" s="32">
        <f t="shared" si="365"/>
        <v>-29.2338690418391</v>
      </c>
      <c r="BM401" s="31">
        <f t="shared" si="366"/>
        <v>-95.0082480569541</v>
      </c>
      <c r="BO401">
        <f t="shared" si="367"/>
        <v>0</v>
      </c>
      <c r="BP401">
        <f t="shared" si="368"/>
        <v>0</v>
      </c>
    </row>
    <row r="402" spans="14:68">
      <c r="N402" s="7">
        <v>84</v>
      </c>
      <c r="O402" s="18">
        <f t="shared" si="371"/>
        <v>69183.0970918937</v>
      </c>
      <c r="P402" s="86" t="str">
        <f t="shared" si="319"/>
        <v>15</v>
      </c>
      <c r="Q402" s="4" t="str">
        <f t="shared" si="320"/>
        <v>1+126,784647252948i</v>
      </c>
      <c r="R402" s="4">
        <f t="shared" si="331"/>
        <v>126.788590886777</v>
      </c>
      <c r="S402" s="4">
        <f t="shared" si="332"/>
        <v>1.56290910002521</v>
      </c>
      <c r="T402" s="4" t="str">
        <f t="shared" si="321"/>
        <v>1+0,086938043830593i</v>
      </c>
      <c r="U402" s="4">
        <f t="shared" si="333"/>
        <v>1.00377199774904</v>
      </c>
      <c r="V402" s="4">
        <f t="shared" si="334"/>
        <v>0.0867199994091872</v>
      </c>
      <c r="W402" t="str">
        <f t="shared" si="322"/>
        <v>1-7,60707883517689i</v>
      </c>
      <c r="X402" s="4">
        <f t="shared" si="335"/>
        <v>7.67252555581252</v>
      </c>
      <c r="Y402" s="4">
        <f t="shared" si="336"/>
        <v>-1.44008929082757</v>
      </c>
      <c r="Z402" t="str">
        <f t="shared" si="323"/>
        <v>0,965964082323723+0,403640917784895i</v>
      </c>
      <c r="AA402" s="4">
        <f t="shared" si="337"/>
        <v>1.04690620346321</v>
      </c>
      <c r="AB402" s="4">
        <f t="shared" si="338"/>
        <v>0.395810284120051</v>
      </c>
      <c r="AC402" s="67" t="str">
        <f t="shared" si="339"/>
        <v>-0,857696582285492+0,147667479318547i</v>
      </c>
      <c r="AD402" s="68">
        <f t="shared" si="340"/>
        <v>-1.20646539386493</v>
      </c>
      <c r="AE402" s="31">
        <f t="shared" si="341"/>
        <v>170.231297517129</v>
      </c>
      <c r="AF402" s="32" t="str">
        <f t="shared" si="342"/>
        <v>75,4669735059805</v>
      </c>
      <c r="AG402" s="32" t="str">
        <f t="shared" si="324"/>
        <v>1+81,504416091181i</v>
      </c>
      <c r="AH402" s="32">
        <f t="shared" si="343"/>
        <v>81.5105504972477</v>
      </c>
      <c r="AI402" s="32">
        <f t="shared" si="344"/>
        <v>1.55852766855369</v>
      </c>
      <c r="AJ402" s="32" t="str">
        <f t="shared" si="325"/>
        <v>1+0,086938043830593i</v>
      </c>
      <c r="AK402" s="32">
        <f t="shared" si="345"/>
        <v>1.00377199774904</v>
      </c>
      <c r="AL402" s="32">
        <f t="shared" si="346"/>
        <v>0.0867199994091872</v>
      </c>
      <c r="AM402" s="32" t="str">
        <f t="shared" si="326"/>
        <v>1-0,971996879180311i</v>
      </c>
      <c r="AN402" s="32">
        <f t="shared" si="347"/>
        <v>1.39455295099765</v>
      </c>
      <c r="AO402" s="32">
        <f t="shared" si="348"/>
        <v>-0.771198729789277</v>
      </c>
      <c r="AP402" s="30" t="str">
        <f t="shared" si="349"/>
        <v>-0,807056156827605-1,01407086354452i</v>
      </c>
      <c r="AQ402" s="32">
        <f t="shared" si="350"/>
        <v>2.25226384722385</v>
      </c>
      <c r="AR402" s="31">
        <f t="shared" si="351"/>
        <v>-128.514800079743</v>
      </c>
      <c r="AS402" t="str">
        <f t="shared" si="327"/>
        <v>-0,000338461538461538</v>
      </c>
      <c r="AT402" t="str">
        <f t="shared" si="328"/>
        <v>0,0760942616236031i</v>
      </c>
      <c r="AU402">
        <f t="shared" si="352"/>
        <v>0.0760942616236031</v>
      </c>
      <c r="AV402">
        <f t="shared" si="353"/>
        <v>1.5707963267949</v>
      </c>
      <c r="AW402" t="str">
        <f t="shared" si="329"/>
        <v>1+12,349816961701i</v>
      </c>
      <c r="AX402">
        <f t="shared" si="354"/>
        <v>12.3902372450053</v>
      </c>
      <c r="AY402">
        <f t="shared" si="355"/>
        <v>1.48999974283273</v>
      </c>
      <c r="AZ402" t="str">
        <f t="shared" si="330"/>
        <v>1+107,803174349935i</v>
      </c>
      <c r="BA402">
        <f t="shared" si="356"/>
        <v>107.807812332514</v>
      </c>
      <c r="BB402">
        <f t="shared" si="357"/>
        <v>1.56152042814812</v>
      </c>
      <c r="BC402" s="30" t="str">
        <f t="shared" si="358"/>
        <v>-0,00276560009202091+0,0386025795292313i</v>
      </c>
      <c r="BD402" s="32">
        <f t="shared" si="359"/>
        <v>-28.2454394394981</v>
      </c>
      <c r="BE402" s="31">
        <f t="shared" si="360"/>
        <v>94.0978334164554</v>
      </c>
      <c r="BF402" s="30" t="str">
        <f t="shared" si="361"/>
        <v>-0,00332829986738055-0,0335176897240175i</v>
      </c>
      <c r="BG402" s="68">
        <f t="shared" si="362"/>
        <v>-29.451904833363</v>
      </c>
      <c r="BH402" s="31">
        <f t="shared" si="363"/>
        <v>-95.670869066416</v>
      </c>
      <c r="BI402" s="30" t="str">
        <f t="shared" si="369"/>
        <v>0,0413777457398421-0,0283499350049589i</v>
      </c>
      <c r="BJ402" s="68">
        <f t="shared" si="364"/>
        <v>-25.9931755922743</v>
      </c>
      <c r="BK402" s="31">
        <f t="shared" si="370"/>
        <v>-34.4169666632874</v>
      </c>
      <c r="BL402" s="32">
        <f t="shared" si="365"/>
        <v>-29.451904833363</v>
      </c>
      <c r="BM402" s="31">
        <f t="shared" si="366"/>
        <v>-95.670869066416</v>
      </c>
      <c r="BO402">
        <f t="shared" si="367"/>
        <v>0</v>
      </c>
      <c r="BP402">
        <f t="shared" si="368"/>
        <v>0</v>
      </c>
    </row>
    <row r="403" spans="14:68">
      <c r="N403" s="7">
        <v>85</v>
      </c>
      <c r="O403" s="18">
        <f t="shared" si="371"/>
        <v>70794.5784384138</v>
      </c>
      <c r="P403" s="86" t="str">
        <f t="shared" ref="P403:P466" si="372">COMPLEX(Adc,0)</f>
        <v>15</v>
      </c>
      <c r="Q403" s="4" t="str">
        <f t="shared" ref="Q403:Q466" si="373">IMSUM(COMPLEX(1,0),IMDIV(COMPLEX(0,2*PI()*O403),COMPLEX(wp_lf,0)))</f>
        <v>1+129,737841062729i</v>
      </c>
      <c r="R403" s="4">
        <f t="shared" si="331"/>
        <v>129.74169493119</v>
      </c>
      <c r="S403" s="4">
        <f t="shared" si="332"/>
        <v>1.56308862803209</v>
      </c>
      <c r="T403" s="4" t="str">
        <f t="shared" ref="T403:T466" si="374">IMSUM(COMPLEX(1,0),IMDIV(COMPLEX(0,2*PI()*O403),COMPLEX(wz_esr,0)))</f>
        <v>1+0,0889630910144428i</v>
      </c>
      <c r="U403" s="4">
        <f t="shared" si="333"/>
        <v>1.00394941683475</v>
      </c>
      <c r="V403" s="4">
        <f t="shared" si="334"/>
        <v>0.0887295018187745</v>
      </c>
      <c r="W403" t="str">
        <f t="shared" ref="W403:W466" si="375">IMSUB(COMPLEX(1,0),IMDIV(COMPLEX(0,2*PI()*O403),COMPLEX(wz_rhp,0)))</f>
        <v>1-7,78427046376375i</v>
      </c>
      <c r="X403" s="4">
        <f t="shared" si="335"/>
        <v>7.84823971684254</v>
      </c>
      <c r="Y403" s="4">
        <f t="shared" si="336"/>
        <v>-1.44303190432856</v>
      </c>
      <c r="Z403" t="str">
        <f t="shared" ref="Z403:Z466" si="376">IMSUM(COMPLEX(1,0),IMDIV(COMPLEX(0,2*PI()*O403),COMPLEX(Q*(wsl/2),0)),IMDIV(IMPOWER(COMPLEX(0,2*PI()*O403),2),IMPOWER(COMPLEX(wsl/2,0),2)))</f>
        <v>0,96436001894206+0,413042922567055i</v>
      </c>
      <c r="AA403" s="4">
        <f t="shared" si="337"/>
        <v>1.04909232292333</v>
      </c>
      <c r="AB403" s="4">
        <f t="shared" si="338"/>
        <v>0.404669048233691</v>
      </c>
      <c r="AC403" s="67" t="str">
        <f t="shared" si="339"/>
        <v>-0,854222863594421+0,155855074081397i</v>
      </c>
      <c r="AD403" s="68">
        <f t="shared" si="340"/>
        <v>-1.22635851264811</v>
      </c>
      <c r="AE403" s="31">
        <f t="shared" si="341"/>
        <v>169.659978197262</v>
      </c>
      <c r="AF403" s="32" t="str">
        <f t="shared" si="342"/>
        <v>75,4669735059805</v>
      </c>
      <c r="AG403" s="32" t="str">
        <f t="shared" ref="AG403:AG466" si="377">IMSUM(COMPLEX(1,0),IMDIV(COMPLEX(0,2*PI()*O403),COMPLEX(wp_lf_DCM,0)))</f>
        <v>1+83,4028978260402i</v>
      </c>
      <c r="AH403" s="32">
        <f t="shared" si="343"/>
        <v>83.4088926061298</v>
      </c>
      <c r="AI403" s="32">
        <f t="shared" si="344"/>
        <v>1.55880691023701</v>
      </c>
      <c r="AJ403" s="32" t="str">
        <f t="shared" ref="AJ403:AJ466" si="378">IMSUM(COMPLEX(1,0),IMDIV(COMPLEX(0,2*PI()*O403),COMPLEX(wz1_dcm,0)))</f>
        <v>1+0,0889630910144428i</v>
      </c>
      <c r="AK403" s="32">
        <f t="shared" si="345"/>
        <v>1.00394941683475</v>
      </c>
      <c r="AL403" s="32">
        <f t="shared" si="346"/>
        <v>0.0887295018187745</v>
      </c>
      <c r="AM403" s="32" t="str">
        <f t="shared" ref="AM403:AM466" si="379">IMSUB(COMPLEX(1,0),IMDIV(COMPLEX(0,2*PI()*O403),COMPLEX(wz2_dcm,0)))</f>
        <v>1-0,994637594983974i</v>
      </c>
      <c r="AN403" s="32">
        <f t="shared" si="347"/>
        <v>1.41042686636192</v>
      </c>
      <c r="AO403" s="32">
        <f t="shared" si="348"/>
        <v>-0.782709759192821</v>
      </c>
      <c r="AP403" s="30" t="str">
        <f t="shared" si="349"/>
        <v>-0,807572853947776-0,994597571220626i</v>
      </c>
      <c r="AQ403" s="32">
        <f t="shared" si="350"/>
        <v>2.15213964235597</v>
      </c>
      <c r="AR403" s="31">
        <f t="shared" si="351"/>
        <v>-129.075196845345</v>
      </c>
      <c r="AS403" t="str">
        <f t="shared" ref="AS403:AS466" si="380">COMPLEX(Adc_ea,0)</f>
        <v>-0,000338461538461538</v>
      </c>
      <c r="AT403" t="str">
        <f t="shared" ref="AT403:AT466" si="381">COMPLEX(0,2*PI()*O403*wp0_ea)</f>
        <v>0,0778667246722114i</v>
      </c>
      <c r="AU403">
        <f t="shared" si="352"/>
        <v>0.0778667246722114</v>
      </c>
      <c r="AV403">
        <f t="shared" si="353"/>
        <v>1.5707963267949</v>
      </c>
      <c r="AW403" t="str">
        <f t="shared" ref="AW403:AW466" si="382">IMSUM(COMPLEX(1,0),IMDIV(COMPLEX(0,2*PI()*O403),COMPLEX(wp1_ea,0)))</f>
        <v>1+12,6374811528586i</v>
      </c>
      <c r="AX403">
        <f t="shared" si="354"/>
        <v>12.6769842584448</v>
      </c>
      <c r="AY403">
        <f t="shared" si="355"/>
        <v>1.49183117346216</v>
      </c>
      <c r="AZ403" t="str">
        <f t="shared" ref="AZ403:AZ466" si="383">IMSUM(COMPLEX(1,0),IMDIV(COMPLEX(0,2*PI()*O403),COMPLEX(wz_ea,0)))</f>
        <v>1+110,314232857909i</v>
      </c>
      <c r="BA403">
        <f t="shared" si="356"/>
        <v>110.318765271503</v>
      </c>
      <c r="BB403">
        <f t="shared" si="357"/>
        <v>1.56173156167842</v>
      </c>
      <c r="BC403" s="30" t="str">
        <f t="shared" si="358"/>
        <v>-0,00264190211965653+0,0377336657234114i</v>
      </c>
      <c r="BD403" s="32">
        <f t="shared" si="359"/>
        <v>-28.4441828339675</v>
      </c>
      <c r="BE403" s="31">
        <f t="shared" si="360"/>
        <v>94.004997231118</v>
      </c>
      <c r="BF403" s="30" t="str">
        <f t="shared" si="361"/>
        <v>-0,00362421007269578-0,032644713838742i</v>
      </c>
      <c r="BG403" s="68">
        <f t="shared" si="362"/>
        <v>-29.6705413466156</v>
      </c>
      <c r="BH403" s="31">
        <f t="shared" si="363"/>
        <v>-96.3350245716197</v>
      </c>
      <c r="BI403" s="30" t="str">
        <f t="shared" si="369"/>
        <v>0,0396633407163777-0,0278450546865537i</v>
      </c>
      <c r="BJ403" s="68">
        <f t="shared" si="364"/>
        <v>-26.2920431916115</v>
      </c>
      <c r="BK403" s="31">
        <f t="shared" si="370"/>
        <v>-35.0701996142265</v>
      </c>
      <c r="BL403" s="32">
        <f t="shared" si="365"/>
        <v>-29.6705413466156</v>
      </c>
      <c r="BM403" s="31">
        <f t="shared" si="366"/>
        <v>-96.3350245716197</v>
      </c>
      <c r="BO403">
        <f t="shared" si="367"/>
        <v>0</v>
      </c>
      <c r="BP403">
        <f t="shared" si="368"/>
        <v>0</v>
      </c>
    </row>
    <row r="404" spans="14:68">
      <c r="N404" s="7">
        <v>86</v>
      </c>
      <c r="O404" s="18">
        <f t="shared" si="371"/>
        <v>72443.5960074991</v>
      </c>
      <c r="P404" s="86" t="str">
        <f t="shared" si="372"/>
        <v>15</v>
      </c>
      <c r="Q404" s="4" t="str">
        <f t="shared" si="373"/>
        <v>1+132,759823593125i</v>
      </c>
      <c r="R404" s="4">
        <f t="shared" ref="R404:R467" si="384">IMABS(Q404)</f>
        <v>132.763589739347</v>
      </c>
      <c r="S404" s="4">
        <f t="shared" ref="S404:S467" si="385">IMARGUMENT(Q404)</f>
        <v>1.56326406996272</v>
      </c>
      <c r="T404" s="4" t="str">
        <f t="shared" si="374"/>
        <v>1+0,0910353076067144i</v>
      </c>
      <c r="U404" s="4">
        <f t="shared" ref="U404:U467" si="386">IMABS(T404)</f>
        <v>1.00413516382559</v>
      </c>
      <c r="V404" s="4">
        <f t="shared" ref="V404:V467" si="387">IMARGUMENT(T404)</f>
        <v>0.0907850679100387</v>
      </c>
      <c r="W404" t="str">
        <f t="shared" si="375"/>
        <v>1-7,96558941558752i</v>
      </c>
      <c r="X404" s="4">
        <f t="shared" ref="X404:X467" si="388">IMABS(W404)</f>
        <v>8.02811402122067</v>
      </c>
      <c r="Y404" s="4">
        <f t="shared" ref="Y404:Y467" si="389">IMARGUMENT(W404)</f>
        <v>-1.44590968709531</v>
      </c>
      <c r="Z404" t="str">
        <f t="shared" si="376"/>
        <v>0,962680358382238+0,42266392817403i</v>
      </c>
      <c r="AA404" s="4">
        <f t="shared" ref="AA404:AA467" si="390">IMABS(Z404)</f>
        <v>1.05137922206712</v>
      </c>
      <c r="AB404" s="4">
        <f t="shared" ref="AB404:AB467" si="391">IMARGUMENT(Z404)</f>
        <v>0.413709915251235</v>
      </c>
      <c r="AC404" s="67" t="str">
        <f t="shared" ref="AC404:AC467" si="392">(IMDIV(IMPRODUCT(P404,T404,W404),IMPRODUCT(Q404,Z404)))</f>
        <v>-0,850608336532522+0,164035184461206i</v>
      </c>
      <c r="AD404" s="68">
        <f t="shared" ref="AD404:AD467" si="393">20*LOG(IMABS(AC404))</f>
        <v>-1.24682819216298</v>
      </c>
      <c r="AE404" s="31">
        <f t="shared" ref="AE404:AE467" si="394">(180/PI())*IMARGUMENT(AC404)</f>
        <v>169.084813046493</v>
      </c>
      <c r="AF404" s="32" t="str">
        <f t="shared" ref="AF404:AF467" si="395">COMPLEX($B$68,0)</f>
        <v>75,4669735059805</v>
      </c>
      <c r="AG404" s="32" t="str">
        <f t="shared" si="377"/>
        <v>1+85,3456008812948i</v>
      </c>
      <c r="AH404" s="32">
        <f t="shared" ref="AH404:AH467" si="396">IMABS(AG404)</f>
        <v>85.3514592130051</v>
      </c>
      <c r="AI404" s="32">
        <f t="shared" ref="AI404:AI467" si="397">IMARGUMENT(AG404)</f>
        <v>1.55907979741043</v>
      </c>
      <c r="AJ404" s="32" t="str">
        <f t="shared" si="378"/>
        <v>1+0,0910353076067144i</v>
      </c>
      <c r="AK404" s="32">
        <f t="shared" ref="AK404:AK467" si="398">IMABS(AJ404)</f>
        <v>1.00413516382559</v>
      </c>
      <c r="AL404" s="32">
        <f t="shared" ref="AL404:AL467" si="399">IMARGUMENT(AJ404)</f>
        <v>0.0907850679100387</v>
      </c>
      <c r="AM404" s="32" t="str">
        <f t="shared" si="379"/>
        <v>1-1,01780568080609i</v>
      </c>
      <c r="AN404" s="32">
        <f t="shared" ref="AN404:AN467" si="400">IMABS(AM404)</f>
        <v>1.42685963005516</v>
      </c>
      <c r="AO404" s="32">
        <f t="shared" ref="AO404:AO467" si="401">IMARGUMENT(AM404)</f>
        <v>-0.79422221361862</v>
      </c>
      <c r="AP404" s="30" t="str">
        <f t="shared" ref="AP404:AP467" si="402">(IMDIV(IMPRODUCT(AF404,AJ404,AM404),IMPRODUCT(AG404)))</f>
        <v>-0,808066302401727-0,975651069963465i</v>
      </c>
      <c r="AQ404" s="32">
        <f t="shared" ref="AQ404:AQ467" si="403">20*LOG(IMABS(AP404))</f>
        <v>2.0543881950813</v>
      </c>
      <c r="AR404" s="31">
        <f t="shared" ref="AR404:AR467" si="404">(180/PI())*IMARGUMENT(AP404)</f>
        <v>-129.63267191756</v>
      </c>
      <c r="AS404" t="str">
        <f t="shared" si="380"/>
        <v>-0,000338461538461538</v>
      </c>
      <c r="AT404" t="str">
        <f t="shared" si="381"/>
        <v>0,0796804736889289i</v>
      </c>
      <c r="AU404">
        <f t="shared" ref="AU404:AU467" si="405">IMABS(AT404)</f>
        <v>0.0796804736889289</v>
      </c>
      <c r="AV404">
        <f t="shared" ref="AV404:AV467" si="406">IMARGUMENT(AT404)</f>
        <v>1.5707963267949</v>
      </c>
      <c r="AW404" t="str">
        <f t="shared" si="382"/>
        <v>1+12,9318459038003i</v>
      </c>
      <c r="AX404">
        <f t="shared" ref="AX404:AX467" si="407">IMABS(AW404)</f>
        <v>12.9704525163788</v>
      </c>
      <c r="AY404">
        <f t="shared" ref="AY404:AY467" si="408">IMARGUMENT(AW404)</f>
        <v>1.49362142871421</v>
      </c>
      <c r="AZ404" t="str">
        <f t="shared" si="383"/>
        <v>1+112,883781432326i</v>
      </c>
      <c r="BA404">
        <f t="shared" ref="BA404:BA467" si="409">IMABS(AZ404)</f>
        <v>112.888210679686</v>
      </c>
      <c r="BB404">
        <f t="shared" ref="BB404:BB467" si="410">IMARGUMENT(AZ404)</f>
        <v>1.56193789000376</v>
      </c>
      <c r="BC404" s="30" t="str">
        <f t="shared" ref="BC404:BC467" si="411">IMPRODUCT(AS404,IMDIV(AZ404,IMPRODUCT(AT404,AW404)))</f>
        <v>-0,00252370372747937+0,0368838827301438i</v>
      </c>
      <c r="BD404" s="32">
        <f t="shared" ref="BD404:BD467" si="412">20*LOG(IMABS(BC404))</f>
        <v>-28.6429824364047</v>
      </c>
      <c r="BE404" s="31">
        <f t="shared" ref="BE404:BE467" si="413">(180/PI())*IMARGUMENT(BC404)</f>
        <v>93.9142449031603</v>
      </c>
      <c r="BF404" s="30" t="str">
        <f t="shared" ref="BF404:BF467" si="414">IMPRODUCT(AC404,BC404)</f>
        <v>-0,00390357107775248-0,0317877143404107i</v>
      </c>
      <c r="BG404" s="68">
        <f t="shared" ref="BG404:BG467" si="415">20*LOG(IMABS(BF404))</f>
        <v>-29.8898106285677</v>
      </c>
      <c r="BH404" s="31">
        <f t="shared" ref="BH404:BH467" si="416">(180/PI())*IMARGUMENT(BF404)</f>
        <v>-97.0009420503472</v>
      </c>
      <c r="BI404" s="30" t="str">
        <f t="shared" si="369"/>
        <v>0,0380251195894935-0,0273423684939802i</v>
      </c>
      <c r="BJ404" s="68">
        <f t="shared" ref="BJ404:BJ467" si="417">20*LOG(IMABS(BI404))</f>
        <v>-26.5885942413234</v>
      </c>
      <c r="BK404" s="31">
        <f t="shared" si="370"/>
        <v>-35.7184270143994</v>
      </c>
      <c r="BL404" s="32">
        <f t="shared" ref="BL404:BL467" si="418">IF($B$31=0,BJ404,BG404)</f>
        <v>-29.8898106285677</v>
      </c>
      <c r="BM404" s="31">
        <f t="shared" ref="BM404:BM467" si="419">IF($B$31=0,BK404,BH404)</f>
        <v>-97.0009420503472</v>
      </c>
      <c r="BO404">
        <f t="shared" ref="BO404:BO467" si="420">SUM((BL405&lt;0)*(BL404&gt;0))*O404</f>
        <v>0</v>
      </c>
      <c r="BP404">
        <f t="shared" ref="BP404:BP467" si="421">IF(BO404&gt;0,BM404,0)</f>
        <v>0</v>
      </c>
    </row>
    <row r="405" spans="14:68">
      <c r="N405" s="7">
        <v>87</v>
      </c>
      <c r="O405" s="18">
        <f t="shared" si="371"/>
        <v>74131.0241300919</v>
      </c>
      <c r="P405" s="86" t="str">
        <f t="shared" si="372"/>
        <v>15</v>
      </c>
      <c r="Q405" s="4" t="str">
        <f t="shared" si="373"/>
        <v>1+135,852197139274i</v>
      </c>
      <c r="R405" s="4">
        <f t="shared" si="384"/>
        <v>135.855877559891</v>
      </c>
      <c r="S405" s="4">
        <f t="shared" si="385"/>
        <v>1.56343551879551</v>
      </c>
      <c r="T405" s="4" t="str">
        <f t="shared" si="374"/>
        <v>1+0,0931557923240738i</v>
      </c>
      <c r="U405" s="4">
        <f t="shared" si="386"/>
        <v>1.00432962798253</v>
      </c>
      <c r="V405" s="4">
        <f t="shared" si="387"/>
        <v>0.0928877180489586</v>
      </c>
      <c r="W405" t="str">
        <f t="shared" si="375"/>
        <v>1-8,15113182835646i</v>
      </c>
      <c r="X405" s="4">
        <f t="shared" si="388"/>
        <v>8.21224391279544</v>
      </c>
      <c r="Y405" s="4">
        <f t="shared" si="389"/>
        <v>-1.44872397420277</v>
      </c>
      <c r="Z405" t="str">
        <f t="shared" si="376"/>
        <v>0,960921537859013+0,432509035790341i</v>
      </c>
      <c r="AA405" s="4">
        <f t="shared" si="390"/>
        <v>1.05377144958555</v>
      </c>
      <c r="AB405" s="4">
        <f t="shared" si="391"/>
        <v>0.42293557011569</v>
      </c>
      <c r="AC405" s="67" t="str">
        <f t="shared" si="392"/>
        <v>-0,846848831407798+0,172206765185173i</v>
      </c>
      <c r="AD405" s="68">
        <f t="shared" si="393"/>
        <v>-1.26790972575027</v>
      </c>
      <c r="AE405" s="31">
        <f t="shared" si="394"/>
        <v>168.505624870151</v>
      </c>
      <c r="AF405" s="32" t="str">
        <f t="shared" si="395"/>
        <v>75,4669735059805</v>
      </c>
      <c r="AG405" s="32" t="str">
        <f t="shared" si="377"/>
        <v>1+87,3335553038192i</v>
      </c>
      <c r="AH405" s="32">
        <f t="shared" si="396"/>
        <v>87.339280292462</v>
      </c>
      <c r="AI405" s="32">
        <f t="shared" si="397"/>
        <v>1.55934647459966</v>
      </c>
      <c r="AJ405" s="32" t="str">
        <f t="shared" si="378"/>
        <v>1+0,0931557923240738i</v>
      </c>
      <c r="AK405" s="32">
        <f t="shared" si="398"/>
        <v>1.00432962798253</v>
      </c>
      <c r="AL405" s="32">
        <f t="shared" si="399"/>
        <v>0.0928877180489586</v>
      </c>
      <c r="AM405" s="32" t="str">
        <f t="shared" si="379"/>
        <v>1-1,04151342067241i</v>
      </c>
      <c r="AN405" s="32">
        <f t="shared" si="400"/>
        <v>1.44386640844669</v>
      </c>
      <c r="AO405" s="32">
        <f t="shared" si="401"/>
        <v>-0.805729991626945</v>
      </c>
      <c r="AP405" s="30" t="str">
        <f t="shared" si="402"/>
        <v>-0,808537547976902-0,957221351303299i</v>
      </c>
      <c r="AQ405" s="32">
        <f t="shared" si="403"/>
        <v>1.95901224131789</v>
      </c>
      <c r="AR405" s="31">
        <f t="shared" si="404"/>
        <v>-130.186825527693</v>
      </c>
      <c r="AS405" t="str">
        <f t="shared" si="380"/>
        <v>-0,000338461538461538</v>
      </c>
      <c r="AT405" t="str">
        <f t="shared" si="381"/>
        <v>0,081536470347492i</v>
      </c>
      <c r="AU405">
        <f t="shared" si="405"/>
        <v>0.081536470347492</v>
      </c>
      <c r="AV405">
        <f t="shared" si="406"/>
        <v>1.5707963267949</v>
      </c>
      <c r="AW405" t="str">
        <f t="shared" si="382"/>
        <v>1+13,2330672906135i</v>
      </c>
      <c r="AX405">
        <f t="shared" si="407"/>
        <v>13.270797636838</v>
      </c>
      <c r="AY405">
        <f t="shared" si="408"/>
        <v>1.49537141187795</v>
      </c>
      <c r="AZ405" t="str">
        <f t="shared" si="383"/>
        <v>1+115,513182481851i</v>
      </c>
      <c r="BA405">
        <f t="shared" si="409"/>
        <v>115.517510911054</v>
      </c>
      <c r="BB405">
        <f t="shared" si="410"/>
        <v>1.56213952245185</v>
      </c>
      <c r="BC405" s="30" t="str">
        <f t="shared" si="411"/>
        <v>-0,00241076330251556+0,0360528377697762i</v>
      </c>
      <c r="BD405" s="32">
        <f t="shared" si="412"/>
        <v>-28.8418357475292</v>
      </c>
      <c r="BE405" s="31">
        <f t="shared" si="413"/>
        <v>93.8255309419475</v>
      </c>
      <c r="BF405" s="30" t="str">
        <f t="shared" si="414"/>
        <v>-0,00416699048254288-0,0309464532842232i</v>
      </c>
      <c r="BG405" s="68">
        <f t="shared" si="415"/>
        <v>-30.1097454732795</v>
      </c>
      <c r="BH405" s="31">
        <f t="shared" si="416"/>
        <v>-97.6688441879018</v>
      </c>
      <c r="BI405" s="30" t="str">
        <f t="shared" si="369"/>
        <v>0,0364597387376724-0,0268424389418775i</v>
      </c>
      <c r="BJ405" s="68">
        <f t="shared" si="417"/>
        <v>-26.8828235062113</v>
      </c>
      <c r="BK405" s="31">
        <f t="shared" si="370"/>
        <v>-36.3612945857456</v>
      </c>
      <c r="BL405" s="32">
        <f t="shared" si="418"/>
        <v>-30.1097454732795</v>
      </c>
      <c r="BM405" s="31">
        <f t="shared" si="419"/>
        <v>-97.6688441879018</v>
      </c>
      <c r="BO405">
        <f t="shared" si="420"/>
        <v>0</v>
      </c>
      <c r="BP405">
        <f t="shared" si="421"/>
        <v>0</v>
      </c>
    </row>
    <row r="406" spans="14:68">
      <c r="N406" s="7">
        <v>88</v>
      </c>
      <c r="O406" s="18">
        <f t="shared" si="371"/>
        <v>75857.7575029185</v>
      </c>
      <c r="P406" s="86" t="str">
        <f t="shared" si="372"/>
        <v>15</v>
      </c>
      <c r="Q406" s="4" t="str">
        <f t="shared" si="373"/>
        <v>1+139,016601318563i</v>
      </c>
      <c r="R406" s="4">
        <f t="shared" si="384"/>
        <v>139.020197964772</v>
      </c>
      <c r="S406" s="4">
        <f t="shared" si="385"/>
        <v>1.56360306539456</v>
      </c>
      <c r="T406" s="4" t="str">
        <f t="shared" si="374"/>
        <v>1+0,0953256694755858i</v>
      </c>
      <c r="U406" s="4">
        <f t="shared" si="386"/>
        <v>1.00453321660409</v>
      </c>
      <c r="V406" s="4">
        <f t="shared" si="387"/>
        <v>0.0950384926785451</v>
      </c>
      <c r="W406" t="str">
        <f t="shared" si="375"/>
        <v>1-8,34099607911376i</v>
      </c>
      <c r="X406" s="4">
        <f t="shared" si="388"/>
        <v>8.4007270870914</v>
      </c>
      <c r="Y406" s="4">
        <f t="shared" si="389"/>
        <v>-1.45147607940983</v>
      </c>
      <c r="Z406" t="str">
        <f t="shared" si="376"/>
        <v>0,959079826678246+0,442583465422361i</v>
      </c>
      <c r="AA406" s="4">
        <f t="shared" si="390"/>
        <v>1.05627375135731</v>
      </c>
      <c r="AB406" s="4">
        <f t="shared" si="391"/>
        <v>0.432348668399593</v>
      </c>
      <c r="AC406" s="67" t="str">
        <f t="shared" si="392"/>
        <v>-0,842940151202737+0,180368494199836i</v>
      </c>
      <c r="AD406" s="68">
        <f t="shared" si="393"/>
        <v>-1.28963906120985</v>
      </c>
      <c r="AE406" s="31">
        <f t="shared" si="394"/>
        <v>167.922240649162</v>
      </c>
      <c r="AF406" s="32" t="str">
        <f t="shared" si="395"/>
        <v>75,4669735059805</v>
      </c>
      <c r="AG406" s="32" t="str">
        <f t="shared" si="377"/>
        <v>1+89,3678151333617i</v>
      </c>
      <c r="AH406" s="32">
        <f t="shared" si="396"/>
        <v>89.3734098136057</v>
      </c>
      <c r="AI406" s="32">
        <f t="shared" si="397"/>
        <v>1.55960708304869</v>
      </c>
      <c r="AJ406" s="32" t="str">
        <f t="shared" si="378"/>
        <v>1+0,0953256694755858i</v>
      </c>
      <c r="AK406" s="32">
        <f t="shared" si="398"/>
        <v>1.00453321660409</v>
      </c>
      <c r="AL406" s="32">
        <f t="shared" si="399"/>
        <v>0.0950384926785451</v>
      </c>
      <c r="AM406" s="32" t="str">
        <f t="shared" si="379"/>
        <v>1-1,06577338474043i</v>
      </c>
      <c r="AN406" s="32">
        <f t="shared" si="400"/>
        <v>1.46146259193353</v>
      </c>
      <c r="AO406" s="32">
        <f t="shared" si="401"/>
        <v>-0.817227004159787</v>
      </c>
      <c r="AP406" s="30" t="str">
        <f t="shared" si="402"/>
        <v>-0,808987589443145-0,939298678292446i</v>
      </c>
      <c r="AQ406" s="32">
        <f t="shared" si="403"/>
        <v>1.86601222893354</v>
      </c>
      <c r="AR406" s="31">
        <f t="shared" si="404"/>
        <v>-130.73725727811</v>
      </c>
      <c r="AS406" t="str">
        <f t="shared" si="380"/>
        <v>-0,000338461538461538</v>
      </c>
      <c r="AT406" t="str">
        <f t="shared" si="381"/>
        <v>0,0834356987218961i</v>
      </c>
      <c r="AU406">
        <f t="shared" si="405"/>
        <v>0.0834356987218961</v>
      </c>
      <c r="AV406">
        <f t="shared" si="406"/>
        <v>1.5707963267949</v>
      </c>
      <c r="AW406" t="str">
        <f t="shared" si="382"/>
        <v>1+13,5413050248644i</v>
      </c>
      <c r="AX406">
        <f t="shared" si="407"/>
        <v>13.5781788829142</v>
      </c>
      <c r="AY406">
        <f t="shared" si="408"/>
        <v>1.49708200791986</v>
      </c>
      <c r="AZ406" t="str">
        <f t="shared" si="383"/>
        <v>1+118,203830149726i</v>
      </c>
      <c r="BA406">
        <f t="shared" si="409"/>
        <v>118.208060055418</v>
      </c>
      <c r="BB406">
        <f t="shared" si="410"/>
        <v>1.56233656586526</v>
      </c>
      <c r="BC406" s="30" t="str">
        <f t="shared" si="411"/>
        <v>-0,00230284959290381+0,0352401442149341i</v>
      </c>
      <c r="BD406" s="32">
        <f t="shared" si="412"/>
        <v>-29.0407403778857</v>
      </c>
      <c r="BE406" s="31">
        <f t="shared" si="413"/>
        <v>93.7388107642629</v>
      </c>
      <c r="BF406" s="30" t="str">
        <f t="shared" si="414"/>
        <v>-0,00441504736339323-0,0301206940063836i</v>
      </c>
      <c r="BG406" s="68">
        <f t="shared" si="415"/>
        <v>-30.3303794390956</v>
      </c>
      <c r="BH406" s="31">
        <f t="shared" si="416"/>
        <v>-98.3389485865747</v>
      </c>
      <c r="BI406" s="30" t="str">
        <f t="shared" si="369"/>
        <v>0,0349639976249362-0,0263457757411475i</v>
      </c>
      <c r="BJ406" s="68">
        <f t="shared" si="417"/>
        <v>-27.1747281489522</v>
      </c>
      <c r="BK406" s="31">
        <f t="shared" si="370"/>
        <v>-36.9984465138467</v>
      </c>
      <c r="BL406" s="32">
        <f t="shared" si="418"/>
        <v>-30.3303794390956</v>
      </c>
      <c r="BM406" s="31">
        <f t="shared" si="419"/>
        <v>-98.3389485865747</v>
      </c>
      <c r="BO406">
        <f t="shared" si="420"/>
        <v>0</v>
      </c>
      <c r="BP406">
        <f t="shared" si="421"/>
        <v>0</v>
      </c>
    </row>
    <row r="407" spans="14:68">
      <c r="N407" s="7">
        <v>89</v>
      </c>
      <c r="O407" s="18">
        <f t="shared" si="371"/>
        <v>77624.7116628691</v>
      </c>
      <c r="P407" s="86" t="str">
        <f t="shared" si="372"/>
        <v>15</v>
      </c>
      <c r="Q407" s="4" t="str">
        <f t="shared" si="373"/>
        <v>1+142,254713939972i</v>
      </c>
      <c r="R407" s="4">
        <f t="shared" si="384"/>
        <v>142.258228718564</v>
      </c>
      <c r="S407" s="4">
        <f t="shared" si="385"/>
        <v>1.56376679855764</v>
      </c>
      <c r="T407" s="4" t="str">
        <f t="shared" si="374"/>
        <v>1+0,0975460895588382i</v>
      </c>
      <c r="U407" s="4">
        <f t="shared" si="386"/>
        <v>1.0047463558472</v>
      </c>
      <c r="V407" s="4">
        <f t="shared" si="387"/>
        <v>0.0972384525311238</v>
      </c>
      <c r="W407" t="str">
        <f t="shared" si="375"/>
        <v>1-8,53528283639835i</v>
      </c>
      <c r="X407" s="4">
        <f t="shared" si="388"/>
        <v>8.59366354340896</v>
      </c>
      <c r="Y407" s="4">
        <f t="shared" si="389"/>
        <v>-1.45416729507224</v>
      </c>
      <c r="Z407" t="str">
        <f t="shared" si="376"/>
        <v>0,957151318323601+0,452892558666033i</v>
      </c>
      <c r="AA407" s="4">
        <f t="shared" si="390"/>
        <v>1.05889107837571</v>
      </c>
      <c r="AB407" s="4">
        <f t="shared" si="391"/>
        <v>0.44195183107456</v>
      </c>
      <c r="AC407" s="67" t="str">
        <f t="shared" si="392"/>
        <v>-0,838878082470935+0,188518763476317i</v>
      </c>
      <c r="AD407" s="68">
        <f t="shared" si="393"/>
        <v>-1.31205282089363</v>
      </c>
      <c r="AE407" s="31">
        <f t="shared" si="394"/>
        <v>167.334491854134</v>
      </c>
      <c r="AF407" s="32" t="str">
        <f t="shared" si="395"/>
        <v>75,4669735059805</v>
      </c>
      <c r="AG407" s="32" t="str">
        <f t="shared" si="377"/>
        <v>1+91,4494589614109i</v>
      </c>
      <c r="AH407" s="32">
        <f t="shared" si="396"/>
        <v>91.4549262988866</v>
      </c>
      <c r="AI407" s="32">
        <f t="shared" si="397"/>
        <v>1.55986176079388</v>
      </c>
      <c r="AJ407" s="32" t="str">
        <f t="shared" si="378"/>
        <v>1+0,0975460895588382i</v>
      </c>
      <c r="AK407" s="32">
        <f t="shared" si="398"/>
        <v>1.0047463558472</v>
      </c>
      <c r="AL407" s="32">
        <f t="shared" si="399"/>
        <v>0.0972384525311238</v>
      </c>
      <c r="AM407" s="32" t="str">
        <f t="shared" si="379"/>
        <v>1-1,09059843596422i</v>
      </c>
      <c r="AN407" s="32">
        <f t="shared" si="400"/>
        <v>1.47966379577511</v>
      </c>
      <c r="AO407" s="32">
        <f t="shared" si="401"/>
        <v>-0.82870719061695</v>
      </c>
      <c r="AP407" s="30" t="str">
        <f t="shared" si="402"/>
        <v>-0,809417380664364-0,921873580508235i</v>
      </c>
      <c r="AQ407" s="32">
        <f t="shared" si="403"/>
        <v>1.77538633756433</v>
      </c>
      <c r="AR407" s="31">
        <f t="shared" si="404"/>
        <v>-131.283567055412</v>
      </c>
      <c r="AS407" t="str">
        <f t="shared" si="380"/>
        <v>-0,000338461538461538</v>
      </c>
      <c r="AT407" t="str">
        <f t="shared" si="381"/>
        <v>0,0853791658081643i</v>
      </c>
      <c r="AU407">
        <f t="shared" si="405"/>
        <v>0.0853791658081643</v>
      </c>
      <c r="AV407">
        <f t="shared" si="406"/>
        <v>1.5707963267949</v>
      </c>
      <c r="AW407" t="str">
        <f t="shared" si="382"/>
        <v>1+13,8567225382799i</v>
      </c>
      <c r="AX407">
        <f t="shared" si="407"/>
        <v>13.8927592472796</v>
      </c>
      <c r="AY407">
        <f t="shared" si="408"/>
        <v>1.49875408375468</v>
      </c>
      <c r="AZ407" t="str">
        <f t="shared" si="383"/>
        <v>1+120,957151052959i</v>
      </c>
      <c r="BA407">
        <f t="shared" si="409"/>
        <v>120.961284677571</v>
      </c>
      <c r="BB407">
        <f t="shared" si="410"/>
        <v>1.56252912465777</v>
      </c>
      <c r="BC407" s="30" t="str">
        <f t="shared" si="411"/>
        <v>-0,00219974128587888+0,034445421630049i</v>
      </c>
      <c r="BD407" s="32">
        <f t="shared" si="412"/>
        <v>-29.2396940431336</v>
      </c>
      <c r="BE407" s="31">
        <f t="shared" si="413"/>
        <v>93.6540406820214</v>
      </c>
      <c r="BF407" s="30" t="str">
        <f t="shared" si="414"/>
        <v>-0,004648293541287-0,0293102017541001i</v>
      </c>
      <c r="BG407" s="68">
        <f t="shared" si="415"/>
        <v>-30.5517468640272</v>
      </c>
      <c r="BH407" s="31">
        <f t="shared" si="416"/>
        <v>-99.0114674638451</v>
      </c>
      <c r="BI407" s="30" t="str">
        <f t="shared" si="369"/>
        <v>0,0335348329999644-0,0258528395762689i</v>
      </c>
      <c r="BJ407" s="68">
        <f t="shared" si="417"/>
        <v>-27.4643077055692</v>
      </c>
      <c r="BK407" s="31">
        <f t="shared" si="370"/>
        <v>-37.629526373391</v>
      </c>
      <c r="BL407" s="32">
        <f t="shared" si="418"/>
        <v>-30.5517468640272</v>
      </c>
      <c r="BM407" s="31">
        <f t="shared" si="419"/>
        <v>-99.0114674638451</v>
      </c>
      <c r="BO407">
        <f t="shared" si="420"/>
        <v>0</v>
      </c>
      <c r="BP407">
        <f t="shared" si="421"/>
        <v>0</v>
      </c>
    </row>
    <row r="408" spans="14:68">
      <c r="N408" s="7">
        <v>90</v>
      </c>
      <c r="O408" s="18">
        <f t="shared" si="371"/>
        <v>79432.8234724282</v>
      </c>
      <c r="P408" s="86" t="str">
        <f t="shared" si="372"/>
        <v>15</v>
      </c>
      <c r="Q408" s="4" t="str">
        <f t="shared" si="373"/>
        <v>1+145,568251893677i</v>
      </c>
      <c r="R408" s="4">
        <f t="shared" si="384"/>
        <v>145.57168666805</v>
      </c>
      <c r="S408" s="4">
        <f t="shared" si="385"/>
        <v>1.56392680506312</v>
      </c>
      <c r="T408" s="4" t="str">
        <f t="shared" si="374"/>
        <v>1+0,0998182298699502i</v>
      </c>
      <c r="U408" s="4">
        <f t="shared" si="386"/>
        <v>1.00496949158388</v>
      </c>
      <c r="V408" s="4">
        <f t="shared" si="387"/>
        <v>0.0994886788283196</v>
      </c>
      <c r="W408" t="str">
        <f t="shared" si="375"/>
        <v>1-8,73409511362065i</v>
      </c>
      <c r="X408" s="4">
        <f t="shared" si="388"/>
        <v>8.791155638127</v>
      </c>
      <c r="Y408" s="4">
        <f t="shared" si="389"/>
        <v>-1.45679889209215</v>
      </c>
      <c r="Z408" t="str">
        <f t="shared" si="376"/>
        <v>0,955131922170297+0,463441781539053i</v>
      </c>
      <c r="AA408" s="4">
        <f t="shared" si="390"/>
        <v>1.06162859495438</v>
      </c>
      <c r="AB408" s="4">
        <f t="shared" si="391"/>
        <v>0.451747639029107</v>
      </c>
      <c r="AC408" s="67" t="str">
        <f t="shared" si="392"/>
        <v>-0,834658407254357+0,196655670003901i</v>
      </c>
      <c r="AD408" s="68">
        <f t="shared" si="393"/>
        <v>-1.33518831960919</v>
      </c>
      <c r="AE408" s="31">
        <f t="shared" si="394"/>
        <v>166.742214771118</v>
      </c>
      <c r="AF408" s="32" t="str">
        <f t="shared" si="395"/>
        <v>75,4669735059805</v>
      </c>
      <c r="AG408" s="32" t="str">
        <f t="shared" si="377"/>
        <v>1+93,5795905030784i</v>
      </c>
      <c r="AH408" s="32">
        <f t="shared" si="396"/>
        <v>93.584933395947</v>
      </c>
      <c r="AI408" s="32">
        <f t="shared" si="397"/>
        <v>1.56011064273651</v>
      </c>
      <c r="AJ408" s="32" t="str">
        <f t="shared" si="378"/>
        <v>1+0,0998182298699502i</v>
      </c>
      <c r="AK408" s="32">
        <f t="shared" si="398"/>
        <v>1.00496949158388</v>
      </c>
      <c r="AL408" s="32">
        <f t="shared" si="399"/>
        <v>0.0994886788283196</v>
      </c>
      <c r="AM408" s="32" t="str">
        <f t="shared" si="379"/>
        <v>1-1,11600173691454i</v>
      </c>
      <c r="AN408" s="32">
        <f t="shared" si="400"/>
        <v>1.49848586139352</v>
      </c>
      <c r="AO408" s="32">
        <f t="shared" si="401"/>
        <v>-0.84016453474897</v>
      </c>
      <c r="AP408" s="30" t="str">
        <f t="shared" si="402"/>
        <v>-0,809827832615587-0,904936849186221i</v>
      </c>
      <c r="AQ408" s="32">
        <f t="shared" si="403"/>
        <v>1.68713050888226</v>
      </c>
      <c r="AR408" s="31">
        <f t="shared" si="404"/>
        <v>-131.825355933737</v>
      </c>
      <c r="AS408" t="str">
        <f t="shared" si="380"/>
        <v>-0,000338461538461538</v>
      </c>
      <c r="AT408" t="str">
        <f t="shared" si="381"/>
        <v>0,0873679020582713i</v>
      </c>
      <c r="AU408">
        <f t="shared" si="405"/>
        <v>0.0873679020582713</v>
      </c>
      <c r="AV408">
        <f t="shared" si="406"/>
        <v>1.5707963267949</v>
      </c>
      <c r="AW408" t="str">
        <f t="shared" si="382"/>
        <v>1+14,1794870694006i</v>
      </c>
      <c r="AX408">
        <f t="shared" si="407"/>
        <v>14.2147055386771</v>
      </c>
      <c r="AY408">
        <f t="shared" si="408"/>
        <v>1.50038848851934</v>
      </c>
      <c r="AZ408" t="str">
        <f t="shared" si="383"/>
        <v>1+123,774605038738i</v>
      </c>
      <c r="BA408">
        <f t="shared" si="409"/>
        <v>123.778644573673</v>
      </c>
      <c r="BB408">
        <f t="shared" si="410"/>
        <v>1.56271730086946</v>
      </c>
      <c r="BC408" s="30" t="str">
        <f t="shared" si="411"/>
        <v>-0,00210122660095936+0,0336682957987109i</v>
      </c>
      <c r="BD408" s="32">
        <f t="shared" si="412"/>
        <v>-29.438694559526</v>
      </c>
      <c r="BE408" s="31">
        <f t="shared" si="413"/>
        <v>93.5711778897245</v>
      </c>
      <c r="BF408" s="30" t="str">
        <f t="shared" si="414"/>
        <v>-0,00486725482014779-0,0285147442713623i</v>
      </c>
      <c r="BG408" s="68">
        <f t="shared" si="415"/>
        <v>-30.7738828791352</v>
      </c>
      <c r="BH408" s="31">
        <f t="shared" si="416"/>
        <v>-99.6866073391574</v>
      </c>
      <c r="BI408" s="30" t="str">
        <f t="shared" si="369"/>
        <v>0,0321693133016443-0,0253640456348321i</v>
      </c>
      <c r="BJ408" s="68">
        <f t="shared" si="417"/>
        <v>-27.7515640506437</v>
      </c>
      <c r="BK408" s="31">
        <f t="shared" si="370"/>
        <v>-38.2541780440129</v>
      </c>
      <c r="BL408" s="32">
        <f t="shared" si="418"/>
        <v>-30.7738828791352</v>
      </c>
      <c r="BM408" s="31">
        <f t="shared" si="419"/>
        <v>-99.6866073391574</v>
      </c>
      <c r="BO408">
        <f t="shared" si="420"/>
        <v>0</v>
      </c>
      <c r="BP408">
        <f t="shared" si="421"/>
        <v>0</v>
      </c>
    </row>
    <row r="409" spans="14:68">
      <c r="N409" s="7">
        <v>91</v>
      </c>
      <c r="O409" s="18">
        <f t="shared" si="371"/>
        <v>81283.05161641</v>
      </c>
      <c r="P409" s="86" t="str">
        <f t="shared" si="372"/>
        <v>15</v>
      </c>
      <c r="Q409" s="4" t="str">
        <f t="shared" si="373"/>
        <v>1+148,95897206136i</v>
      </c>
      <c r="R409" s="4">
        <f t="shared" si="384"/>
        <v>148.962328652505</v>
      </c>
      <c r="S409" s="4">
        <f t="shared" si="385"/>
        <v>1.56408316971575</v>
      </c>
      <c r="T409" s="4" t="str">
        <f t="shared" si="374"/>
        <v>1+0,102143295127789i</v>
      </c>
      <c r="U409" s="4">
        <f t="shared" si="386"/>
        <v>1.00520309029547</v>
      </c>
      <c r="V409" s="4">
        <f t="shared" si="387"/>
        <v>0.101790273467344</v>
      </c>
      <c r="W409" t="str">
        <f t="shared" si="375"/>
        <v>1-8,93753832368158i</v>
      </c>
      <c r="X409" s="4">
        <f t="shared" si="388"/>
        <v>8.99330813923758</v>
      </c>
      <c r="Y409" s="4">
        <f t="shared" si="389"/>
        <v>-1.45937211990156</v>
      </c>
      <c r="Z409" t="str">
        <f t="shared" si="376"/>
        <v>0,953017354808348+0,474236727379021i</v>
      </c>
      <c r="AA409" s="4">
        <f t="shared" si="390"/>
        <v>1.06449168722027</v>
      </c>
      <c r="AB409" s="4">
        <f t="shared" si="391"/>
        <v>0.461738627335927</v>
      </c>
      <c r="AC409" s="67" t="str">
        <f t="shared" si="392"/>
        <v>-0,830276916058123+0,204777007053334i</v>
      </c>
      <c r="AD409" s="68">
        <f t="shared" si="393"/>
        <v>-1.35908358014676</v>
      </c>
      <c r="AE409" s="31">
        <f t="shared" si="394"/>
        <v>166.145250839073</v>
      </c>
      <c r="AF409" s="32" t="str">
        <f t="shared" si="395"/>
        <v>75,4669735059805</v>
      </c>
      <c r="AG409" s="32" t="str">
        <f t="shared" si="377"/>
        <v>1+95,7593391823026i</v>
      </c>
      <c r="AH409" s="32">
        <f t="shared" si="396"/>
        <v>95.7645604627895</v>
      </c>
      <c r="AI409" s="32">
        <f t="shared" si="397"/>
        <v>1.56035386071369</v>
      </c>
      <c r="AJ409" s="32" t="str">
        <f t="shared" si="378"/>
        <v>1+0,102143295127789i</v>
      </c>
      <c r="AK409" s="32">
        <f t="shared" si="398"/>
        <v>1.00520309029547</v>
      </c>
      <c r="AL409" s="32">
        <f t="shared" si="399"/>
        <v>0.101790273467344</v>
      </c>
      <c r="AM409" s="32" t="str">
        <f t="shared" si="379"/>
        <v>1-1,1419967567578i</v>
      </c>
      <c r="AN409" s="32">
        <f t="shared" si="400"/>
        <v>1.5179448581702</v>
      </c>
      <c r="AO409" s="32">
        <f t="shared" si="401"/>
        <v>-0.851593080265739</v>
      </c>
      <c r="AP409" s="30" t="str">
        <f t="shared" si="402"/>
        <v>-0,810219815309577-0,888479532481847i</v>
      </c>
      <c r="AQ409" s="32">
        <f t="shared" si="403"/>
        <v>1.60123848711248</v>
      </c>
      <c r="AR409" s="31">
        <f t="shared" si="404"/>
        <v>-132.36222706245</v>
      </c>
      <c r="AS409" t="str">
        <f t="shared" si="380"/>
        <v>-0,000338461538461538</v>
      </c>
      <c r="AT409" t="str">
        <f t="shared" si="381"/>
        <v>0,0894029619265003i</v>
      </c>
      <c r="AU409">
        <f t="shared" si="405"/>
        <v>0.0894029619265003</v>
      </c>
      <c r="AV409">
        <f t="shared" si="406"/>
        <v>1.5707963267949</v>
      </c>
      <c r="AW409" t="str">
        <f t="shared" si="382"/>
        <v>1+14,5097697522532i</v>
      </c>
      <c r="AX409">
        <f t="shared" si="407"/>
        <v>14.5441884704304</v>
      </c>
      <c r="AY409">
        <f t="shared" si="408"/>
        <v>1.5019860538497</v>
      </c>
      <c r="AZ409" t="str">
        <f t="shared" si="383"/>
        <v>1+126,657685958459i</v>
      </c>
      <c r="BA409">
        <f t="shared" si="409"/>
        <v>126.661633545252</v>
      </c>
      <c r="BB409">
        <f t="shared" si="410"/>
        <v>1.56290119422051</v>
      </c>
      <c r="BC409" s="30" t="str">
        <f t="shared" si="411"/>
        <v>-0,00200710289797363+0,0329083987397811i</v>
      </c>
      <c r="BD409" s="32">
        <f t="shared" si="412"/>
        <v>-29.6377398395762</v>
      </c>
      <c r="BE409" s="31">
        <f t="shared" si="413"/>
        <v>93.4901804516943</v>
      </c>
      <c r="BF409" s="30" t="str">
        <f t="shared" si="414"/>
        <v>-0,00507243219650922-0,0277340923423716i</v>
      </c>
      <c r="BG409" s="68">
        <f t="shared" si="415"/>
        <v>-30.996823419723</v>
      </c>
      <c r="BH409" s="31">
        <f t="shared" si="416"/>
        <v>-100.364568709233</v>
      </c>
      <c r="BI409" s="30" t="str">
        <f t="shared" si="369"/>
        <v>0,0308646332663504-0,0248797669046448i</v>
      </c>
      <c r="BJ409" s="68">
        <f t="shared" si="417"/>
        <v>-28.0365013524638</v>
      </c>
      <c r="BK409" s="31">
        <f t="shared" si="370"/>
        <v>-38.8720466107552</v>
      </c>
      <c r="BL409" s="32">
        <f t="shared" si="418"/>
        <v>-30.996823419723</v>
      </c>
      <c r="BM409" s="31">
        <f t="shared" si="419"/>
        <v>-100.364568709233</v>
      </c>
      <c r="BO409">
        <f t="shared" si="420"/>
        <v>0</v>
      </c>
      <c r="BP409">
        <f t="shared" si="421"/>
        <v>0</v>
      </c>
    </row>
    <row r="410" spans="14:68">
      <c r="N410" s="7">
        <v>92</v>
      </c>
      <c r="O410" s="18">
        <f t="shared" si="371"/>
        <v>83176.3771102672</v>
      </c>
      <c r="P410" s="86" t="str">
        <f t="shared" si="372"/>
        <v>15</v>
      </c>
      <c r="Q410" s="4" t="str">
        <f t="shared" si="373"/>
        <v>1+152,428672247734i</v>
      </c>
      <c r="R410" s="4">
        <f t="shared" si="384"/>
        <v>152.4319524352</v>
      </c>
      <c r="S410" s="4">
        <f t="shared" si="385"/>
        <v>1.56423597539156</v>
      </c>
      <c r="T410" s="4" t="str">
        <f t="shared" si="374"/>
        <v>1+0,104522518112732i</v>
      </c>
      <c r="U410" s="4">
        <f t="shared" si="386"/>
        <v>1.0054476400055</v>
      </c>
      <c r="V410" s="4">
        <f t="shared" si="387"/>
        <v>0.104144359192096</v>
      </c>
      <c r="W410" t="str">
        <f t="shared" si="375"/>
        <v>1-9,14572033486404i</v>
      </c>
      <c r="X410" s="4">
        <f t="shared" si="388"/>
        <v>9.20022828214309</v>
      </c>
      <c r="Y410" s="4">
        <f t="shared" si="389"/>
        <v>-1.46188820647708</v>
      </c>
      <c r="Z410" t="str">
        <f t="shared" si="376"/>
        <v>0,950803130956875+0,485283119809111i</v>
      </c>
      <c r="AA410" s="4">
        <f t="shared" si="390"/>
        <v>1.0674859719027</v>
      </c>
      <c r="AB410" s="4">
        <f t="shared" si="391"/>
        <v>0.471927279271332</v>
      </c>
      <c r="AC410" s="67" t="str">
        <f t="shared" si="392"/>
        <v>-0,82572942191482+0,212880255798403i</v>
      </c>
      <c r="AD410" s="68">
        <f t="shared" si="393"/>
        <v>-1.38377734623984</v>
      </c>
      <c r="AE410" s="31">
        <f t="shared" si="394"/>
        <v>165.54344699891</v>
      </c>
      <c r="AF410" s="32" t="str">
        <f t="shared" si="395"/>
        <v>75,4669735059805</v>
      </c>
      <c r="AG410" s="32" t="str">
        <f t="shared" si="377"/>
        <v>1+97,9898607306861i</v>
      </c>
      <c r="AH410" s="32">
        <f t="shared" si="396"/>
        <v>97.9949631665794</v>
      </c>
      <c r="AI410" s="32">
        <f t="shared" si="397"/>
        <v>1.56059154356764</v>
      </c>
      <c r="AJ410" s="32" t="str">
        <f t="shared" si="378"/>
        <v>1+0,104522518112732i</v>
      </c>
      <c r="AK410" s="32">
        <f t="shared" si="398"/>
        <v>1.0054476400055</v>
      </c>
      <c r="AL410" s="32">
        <f t="shared" si="399"/>
        <v>0.104144359192096</v>
      </c>
      <c r="AM410" s="32" t="str">
        <f t="shared" si="379"/>
        <v>1-1,16859727839761i</v>
      </c>
      <c r="AN410" s="32">
        <f t="shared" si="400"/>
        <v>1.53805708576707</v>
      </c>
      <c r="AO410" s="32">
        <f t="shared" si="401"/>
        <v>-0.862986946063102</v>
      </c>
      <c r="AP410" s="30" t="str">
        <f t="shared" si="402"/>
        <v>-0,810594159637057-0,872492930858682i</v>
      </c>
      <c r="AQ410" s="32">
        <f t="shared" si="403"/>
        <v>1.51770186951317</v>
      </c>
      <c r="AR410" s="31">
        <f t="shared" si="404"/>
        <v>-132.893786532731</v>
      </c>
      <c r="AS410" t="str">
        <f t="shared" si="380"/>
        <v>-0,000338461538461538</v>
      </c>
      <c r="AT410" t="str">
        <f t="shared" si="381"/>
        <v>0,0914854244285308i</v>
      </c>
      <c r="AU410">
        <f t="shared" si="405"/>
        <v>0.0914854244285308</v>
      </c>
      <c r="AV410">
        <f t="shared" si="406"/>
        <v>1.5707963267949</v>
      </c>
      <c r="AW410" t="str">
        <f t="shared" si="382"/>
        <v>1+14,8477457070879i</v>
      </c>
      <c r="AX410">
        <f t="shared" si="407"/>
        <v>14.8813827510197</v>
      </c>
      <c r="AY410">
        <f t="shared" si="408"/>
        <v>1.50354759415906</v>
      </c>
      <c r="AZ410" t="str">
        <f t="shared" si="383"/>
        <v>1+129,607922459787i</v>
      </c>
      <c r="BA410">
        <f t="shared" si="409"/>
        <v>129.611780191239</v>
      </c>
      <c r="BB410">
        <f t="shared" si="410"/>
        <v>1.56308090216382</v>
      </c>
      <c r="BC410" s="30" t="str">
        <f t="shared" si="411"/>
        <v>-0,00191717629955054+0,0321653687131778i</v>
      </c>
      <c r="BD410" s="32">
        <f t="shared" si="412"/>
        <v>-29.836827887901</v>
      </c>
      <c r="BE410" s="31">
        <f t="shared" si="413"/>
        <v>93.4110072891254</v>
      </c>
      <c r="BF410" s="30" t="str">
        <f t="shared" si="414"/>
        <v>-0,00526430304197458-0,0269680202942683i</v>
      </c>
      <c r="BG410" s="68">
        <f t="shared" si="415"/>
        <v>-31.2206052341409</v>
      </c>
      <c r="BH410" s="31">
        <f t="shared" si="416"/>
        <v>-101.045545711965</v>
      </c>
      <c r="BI410" s="30" t="str">
        <f t="shared" si="369"/>
        <v>0,0296181087321209-0,0244003372529068i</v>
      </c>
      <c r="BJ410" s="68">
        <f t="shared" si="417"/>
        <v>-28.3191260183878</v>
      </c>
      <c r="BK410" s="31">
        <f t="shared" si="370"/>
        <v>-39.4827792436052</v>
      </c>
      <c r="BL410" s="32">
        <f t="shared" si="418"/>
        <v>-31.2206052341409</v>
      </c>
      <c r="BM410" s="31">
        <f t="shared" si="419"/>
        <v>-101.045545711965</v>
      </c>
      <c r="BO410">
        <f t="shared" si="420"/>
        <v>0</v>
      </c>
      <c r="BP410">
        <f t="shared" si="421"/>
        <v>0</v>
      </c>
    </row>
    <row r="411" spans="14:68">
      <c r="N411" s="7">
        <v>93</v>
      </c>
      <c r="O411" s="18">
        <f t="shared" si="371"/>
        <v>85113.8038202377</v>
      </c>
      <c r="P411" s="86" t="str">
        <f t="shared" si="372"/>
        <v>15</v>
      </c>
      <c r="Q411" s="4" t="str">
        <f t="shared" si="373"/>
        <v>1+155,979192133766i</v>
      </c>
      <c r="R411" s="4">
        <f t="shared" si="384"/>
        <v>155.982397656602</v>
      </c>
      <c r="S411" s="4">
        <f t="shared" si="385"/>
        <v>1.56438530308158</v>
      </c>
      <c r="T411" s="4" t="str">
        <f t="shared" si="374"/>
        <v>1+0,106957160320297i</v>
      </c>
      <c r="U411" s="4">
        <f t="shared" si="386"/>
        <v>1.00570365125308</v>
      </c>
      <c r="V411" s="4">
        <f t="shared" si="387"/>
        <v>0.106552079747457</v>
      </c>
      <c r="W411" t="str">
        <f t="shared" si="375"/>
        <v>1-9,35875152802596i</v>
      </c>
      <c r="X411" s="4">
        <f t="shared" si="388"/>
        <v>9.41202582674571</v>
      </c>
      <c r="Y411" s="4">
        <f t="shared" si="389"/>
        <v>-1.4643483583834</v>
      </c>
      <c r="Z411" t="str">
        <f t="shared" si="376"/>
        <v>0,948484553950223+0,496586815772804i</v>
      </c>
      <c r="AA411" s="4">
        <f t="shared" si="390"/>
        <v>1.07061730542782</v>
      </c>
      <c r="AB411" s="4">
        <f t="shared" si="391"/>
        <v>0.482316020091201</v>
      </c>
      <c r="AC411" s="67" t="str">
        <f t="shared" si="392"/>
        <v>-0,821011775565172+0,220962577391779i</v>
      </c>
      <c r="AD411" s="68">
        <f t="shared" si="393"/>
        <v>-1.40930909276172</v>
      </c>
      <c r="AE411" s="31">
        <f t="shared" si="394"/>
        <v>164.93665605395</v>
      </c>
      <c r="AF411" s="32" t="str">
        <f t="shared" si="395"/>
        <v>75,4669735059805</v>
      </c>
      <c r="AG411" s="32" t="str">
        <f t="shared" si="377"/>
        <v>1+100,272337800278i</v>
      </c>
      <c r="AH411" s="32">
        <f t="shared" si="396"/>
        <v>100.277324096393</v>
      </c>
      <c r="AI411" s="32">
        <f t="shared" si="397"/>
        <v>1.56082381721348</v>
      </c>
      <c r="AJ411" s="32" t="str">
        <f t="shared" si="378"/>
        <v>1+0,106957160320297i</v>
      </c>
      <c r="AK411" s="32">
        <f t="shared" si="398"/>
        <v>1.00570365125308</v>
      </c>
      <c r="AL411" s="32">
        <f t="shared" si="399"/>
        <v>0.106552079747457</v>
      </c>
      <c r="AM411" s="32" t="str">
        <f t="shared" si="379"/>
        <v>1-1,19581740578263i</v>
      </c>
      <c r="AN411" s="32">
        <f t="shared" si="400"/>
        <v>1.55883907699695</v>
      </c>
      <c r="AO411" s="32">
        <f t="shared" si="401"/>
        <v>-0.874340340974194</v>
      </c>
      <c r="AP411" s="30" t="str">
        <f t="shared" si="402"/>
        <v>-0,810951659124421-0,856968592601484i</v>
      </c>
      <c r="AQ411" s="32">
        <f t="shared" si="403"/>
        <v>1.43651016644845</v>
      </c>
      <c r="AR411" s="31">
        <f t="shared" si="404"/>
        <v>-133.419644217811</v>
      </c>
      <c r="AS411" t="str">
        <f t="shared" si="380"/>
        <v>-0,000338461538461538</v>
      </c>
      <c r="AT411" t="str">
        <f t="shared" si="381"/>
        <v>0,0936163937135461i</v>
      </c>
      <c r="AU411">
        <f t="shared" si="405"/>
        <v>0.0936163937135461</v>
      </c>
      <c r="AV411">
        <f t="shared" si="406"/>
        <v>1.5707963267949</v>
      </c>
      <c r="AW411" t="str">
        <f t="shared" si="382"/>
        <v>1+15,1935941332297i</v>
      </c>
      <c r="AX411">
        <f t="shared" si="407"/>
        <v>15.2264671767719</v>
      </c>
      <c r="AY411">
        <f t="shared" si="408"/>
        <v>1.50507390691825</v>
      </c>
      <c r="AZ411" t="str">
        <f t="shared" si="383"/>
        <v>1+132,626878797168i</v>
      </c>
      <c r="BA411">
        <f t="shared" si="409"/>
        <v>132.630648718457</v>
      </c>
      <c r="BB411">
        <f t="shared" si="410"/>
        <v>1.56325651993648</v>
      </c>
      <c r="BC411" s="30" t="str">
        <f t="shared" si="411"/>
        <v>-0,00183126132769236+0,0314388502161671i</v>
      </c>
      <c r="BD411" s="32">
        <f t="shared" si="412"/>
        <v>-30.0359567972363</v>
      </c>
      <c r="BE411" s="31">
        <f t="shared" si="413"/>
        <v>93.3336181669871</v>
      </c>
      <c r="BF411" s="30" t="str">
        <f t="shared" si="414"/>
        <v>-0,00544332225982583-0,0262163064605476i</v>
      </c>
      <c r="BG411" s="68">
        <f t="shared" si="415"/>
        <v>-31.445265889998</v>
      </c>
      <c r="BH411" s="31">
        <f t="shared" si="416"/>
        <v>-101.729725779063</v>
      </c>
      <c r="BI411" s="30" t="str">
        <f t="shared" si="369"/>
        <v>0,0284271716347401-0,0239260543010868i</v>
      </c>
      <c r="BJ411" s="68">
        <f t="shared" si="417"/>
        <v>-28.5994466307878</v>
      </c>
      <c r="BK411" s="31">
        <f t="shared" si="370"/>
        <v>-40.0860260508239</v>
      </c>
      <c r="BL411" s="32">
        <f t="shared" si="418"/>
        <v>-31.445265889998</v>
      </c>
      <c r="BM411" s="31">
        <f t="shared" si="419"/>
        <v>-101.729725779063</v>
      </c>
      <c r="BO411">
        <f t="shared" si="420"/>
        <v>0</v>
      </c>
      <c r="BP411">
        <f t="shared" si="421"/>
        <v>0</v>
      </c>
    </row>
    <row r="412" spans="14:68">
      <c r="N412" s="7">
        <v>94</v>
      </c>
      <c r="O412" s="18">
        <f t="shared" si="371"/>
        <v>87096.3589956081</v>
      </c>
      <c r="P412" s="86" t="str">
        <f t="shared" si="372"/>
        <v>15</v>
      </c>
      <c r="Q412" s="4" t="str">
        <f t="shared" si="373"/>
        <v>1+159,612414252096i</v>
      </c>
      <c r="R412" s="4">
        <f t="shared" si="384"/>
        <v>159.615546809773</v>
      </c>
      <c r="S412" s="4">
        <f t="shared" si="385"/>
        <v>1.56453123193466</v>
      </c>
      <c r="T412" s="4" t="str">
        <f t="shared" si="374"/>
        <v>1+0,109448512630009i</v>
      </c>
      <c r="U412" s="4">
        <f t="shared" si="386"/>
        <v>1.00597165810818</v>
      </c>
      <c r="V412" s="4">
        <f t="shared" si="387"/>
        <v>0.109014600015098</v>
      </c>
      <c r="W412" t="str">
        <f t="shared" si="375"/>
        <v>1-9,57674485512578i</v>
      </c>
      <c r="X412" s="4">
        <f t="shared" si="388"/>
        <v>9.62881311586107</v>
      </c>
      <c r="Y412" s="4">
        <f t="shared" si="389"/>
        <v>-1.46675376084324</v>
      </c>
      <c r="Z412" t="str">
        <f t="shared" si="376"/>
        <v>0,946056705775702+0,508153808639325i</v>
      </c>
      <c r="AA412" s="4">
        <f t="shared" si="390"/>
        <v>1.07389179332828</v>
      </c>
      <c r="AB412" s="4">
        <f t="shared" si="391"/>
        <v>0.492907210569644</v>
      </c>
      <c r="AC412" s="67" t="str">
        <f t="shared" si="392"/>
        <v>-0,816119881775622+0,229020805598582i</v>
      </c>
      <c r="AD412" s="68">
        <f t="shared" si="393"/>
        <v>-1.43571903295378</v>
      </c>
      <c r="AE412" s="31">
        <f t="shared" si="394"/>
        <v>164.324737041447</v>
      </c>
      <c r="AF412" s="32" t="str">
        <f t="shared" si="395"/>
        <v>75,4669735059805</v>
      </c>
      <c r="AG412" s="32" t="str">
        <f t="shared" si="377"/>
        <v>1+102,607980590633i</v>
      </c>
      <c r="AH412" s="32">
        <f t="shared" si="396"/>
        <v>102.612853390244</v>
      </c>
      <c r="AI412" s="32">
        <f t="shared" si="397"/>
        <v>1.56105080470545</v>
      </c>
      <c r="AJ412" s="32" t="str">
        <f t="shared" si="378"/>
        <v>1+0,109448512630009i</v>
      </c>
      <c r="AK412" s="32">
        <f t="shared" si="398"/>
        <v>1.00597165810818</v>
      </c>
      <c r="AL412" s="32">
        <f t="shared" si="399"/>
        <v>0.109014600015098</v>
      </c>
      <c r="AM412" s="32" t="str">
        <f t="shared" si="379"/>
        <v>1-1,22367157138472i</v>
      </c>
      <c r="AN412" s="32">
        <f t="shared" si="400"/>
        <v>1.58030760126475</v>
      </c>
      <c r="AO412" s="32">
        <f t="shared" si="401"/>
        <v>-0.885647577957861</v>
      </c>
      <c r="AP412" s="30" t="str">
        <f t="shared" si="402"/>
        <v>-0,811293071612613-0,841898309452271i</v>
      </c>
      <c r="AQ412" s="32">
        <f t="shared" si="403"/>
        <v>1.35765087060697</v>
      </c>
      <c r="AR412" s="31">
        <f t="shared" si="404"/>
        <v>-133.93941458192</v>
      </c>
      <c r="AS412" t="str">
        <f t="shared" si="380"/>
        <v>-0,000338461538461538</v>
      </c>
      <c r="AT412" t="str">
        <f t="shared" si="381"/>
        <v>0,0957969996496677i</v>
      </c>
      <c r="AU412">
        <f t="shared" si="405"/>
        <v>0.0957969996496677</v>
      </c>
      <c r="AV412">
        <f t="shared" si="406"/>
        <v>1.5707963267949</v>
      </c>
      <c r="AW412" t="str">
        <f t="shared" si="382"/>
        <v>1+15,547498404092i</v>
      </c>
      <c r="AX412">
        <f t="shared" si="407"/>
        <v>15.5796247267142</v>
      </c>
      <c r="AY412">
        <f t="shared" si="408"/>
        <v>1.50656577293655</v>
      </c>
      <c r="AZ412" t="str">
        <f t="shared" si="383"/>
        <v>1+135,716155661211i</v>
      </c>
      <c r="BA412">
        <f t="shared" si="409"/>
        <v>135.719839770971</v>
      </c>
      <c r="BB412">
        <f t="shared" si="410"/>
        <v>1.56342814060999</v>
      </c>
      <c r="BC412" s="30" t="str">
        <f t="shared" si="411"/>
        <v>-0,00174918055404332+0,0307284939709499i</v>
      </c>
      <c r="BD412" s="32">
        <f t="shared" si="412"/>
        <v>-30.2351247446182</v>
      </c>
      <c r="BE412" s="31">
        <f t="shared" si="413"/>
        <v>93.2579736808091</v>
      </c>
      <c r="BF412" s="30" t="str">
        <f t="shared" si="414"/>
        <v>-0,00560992341708806-0,0254787336063389i</v>
      </c>
      <c r="BG412" s="68">
        <f t="shared" si="415"/>
        <v>-31.670843777572</v>
      </c>
      <c r="BH412" s="31">
        <f t="shared" si="416"/>
        <v>-102.417289277744</v>
      </c>
      <c r="BI412" s="30" t="str">
        <f t="shared" si="369"/>
        <v>0,0272893651906519-0,0234571821083457i</v>
      </c>
      <c r="BJ412" s="68">
        <f t="shared" si="417"/>
        <v>-28.8774738740112</v>
      </c>
      <c r="BK412" s="31">
        <f t="shared" si="370"/>
        <v>-40.6814409011113</v>
      </c>
      <c r="BL412" s="32">
        <f t="shared" si="418"/>
        <v>-31.670843777572</v>
      </c>
      <c r="BM412" s="31">
        <f t="shared" si="419"/>
        <v>-102.417289277744</v>
      </c>
      <c r="BO412">
        <f t="shared" si="420"/>
        <v>0</v>
      </c>
      <c r="BP412">
        <f t="shared" si="421"/>
        <v>0</v>
      </c>
    </row>
    <row r="413" spans="14:68">
      <c r="N413" s="7">
        <v>95</v>
      </c>
      <c r="O413" s="18">
        <f t="shared" si="371"/>
        <v>89125.0938133746</v>
      </c>
      <c r="P413" s="86" t="str">
        <f t="shared" si="372"/>
        <v>15</v>
      </c>
      <c r="Q413" s="4" t="str">
        <f t="shared" si="373"/>
        <v>1+163,330264985183i</v>
      </c>
      <c r="R413" s="4">
        <f t="shared" si="384"/>
        <v>163.333326238493</v>
      </c>
      <c r="S413" s="4">
        <f t="shared" si="385"/>
        <v>1.56467383929934</v>
      </c>
      <c r="T413" s="4" t="str">
        <f t="shared" si="374"/>
        <v>1+0,11199789598984i</v>
      </c>
      <c r="U413" s="4">
        <f t="shared" si="386"/>
        <v>1.00625221923042</v>
      </c>
      <c r="V413" s="4">
        <f t="shared" si="387"/>
        <v>0.111533106128952</v>
      </c>
      <c r="W413" t="str">
        <f t="shared" si="375"/>
        <v>1-9,79981589911097i</v>
      </c>
      <c r="X413" s="4">
        <f t="shared" si="388"/>
        <v>9.85070513498745</v>
      </c>
      <c r="Y413" s="4">
        <f t="shared" si="389"/>
        <v>-1.46910557783157</v>
      </c>
      <c r="Z413" t="str">
        <f t="shared" si="376"/>
        <v>0,943514436641829+0,519990231381397i</v>
      </c>
      <c r="AA413" s="4">
        <f t="shared" si="390"/>
        <v>1.07731579997864</v>
      </c>
      <c r="AB413" s="4">
        <f t="shared" si="391"/>
        <v>0.503703140308472</v>
      </c>
      <c r="AC413" s="67" t="str">
        <f t="shared" si="392"/>
        <v>-0,811049716805628+0,237051440098105i</v>
      </c>
      <c r="AD413" s="68">
        <f t="shared" si="393"/>
        <v>-1.46304812248075</v>
      </c>
      <c r="AE413" s="31">
        <f t="shared" si="394"/>
        <v>163.707555614752</v>
      </c>
      <c r="AF413" s="32" t="str">
        <f t="shared" si="395"/>
        <v>75,4669735059805</v>
      </c>
      <c r="AG413" s="32" t="str">
        <f t="shared" si="377"/>
        <v>1+104,998027490475i</v>
      </c>
      <c r="AH413" s="32">
        <f t="shared" si="396"/>
        <v>105.002789376714</v>
      </c>
      <c r="AI413" s="32">
        <f t="shared" si="397"/>
        <v>1.56127262630172</v>
      </c>
      <c r="AJ413" s="32" t="str">
        <f t="shared" si="378"/>
        <v>1+0,11199789598984i</v>
      </c>
      <c r="AK413" s="32">
        <f t="shared" si="398"/>
        <v>1.00625221923042</v>
      </c>
      <c r="AL413" s="32">
        <f t="shared" si="399"/>
        <v>0.111533106128952</v>
      </c>
      <c r="AM413" s="32" t="str">
        <f t="shared" si="379"/>
        <v>1-1,25217454385116i</v>
      </c>
      <c r="AN413" s="32">
        <f t="shared" si="400"/>
        <v>1.60247966859766</v>
      </c>
      <c r="AO413" s="32">
        <f t="shared" si="401"/>
        <v>-0.896903087642917</v>
      </c>
      <c r="AP413" s="30" t="str">
        <f t="shared" si="402"/>
        <v>-0,811619120860636-0,827274112367654i</v>
      </c>
      <c r="AQ413" s="32">
        <f t="shared" si="403"/>
        <v>1.281109534848</v>
      </c>
      <c r="AR413" s="31">
        <f t="shared" si="404"/>
        <v>-134.452717453412</v>
      </c>
      <c r="AS413" t="str">
        <f t="shared" si="380"/>
        <v>-0,000338461538461538</v>
      </c>
      <c r="AT413" t="str">
        <f t="shared" si="381"/>
        <v>0,0980283984230268i</v>
      </c>
      <c r="AU413">
        <f t="shared" si="405"/>
        <v>0.0980283984230268</v>
      </c>
      <c r="AV413">
        <f t="shared" si="406"/>
        <v>1.5707963267949</v>
      </c>
      <c r="AW413" t="str">
        <f t="shared" si="382"/>
        <v>1+15,9096461644035i</v>
      </c>
      <c r="AX413">
        <f t="shared" si="407"/>
        <v>15.9410426596418</v>
      </c>
      <c r="AY413">
        <f t="shared" si="408"/>
        <v>1.50802395664294</v>
      </c>
      <c r="AZ413" t="str">
        <f t="shared" si="383"/>
        <v>1+138,877391027401i</v>
      </c>
      <c r="BA413">
        <f t="shared" si="409"/>
        <v>138.880991278784</v>
      </c>
      <c r="BB413">
        <f t="shared" si="410"/>
        <v>1.56359585513944</v>
      </c>
      <c r="BC413" s="30" t="str">
        <f t="shared" si="411"/>
        <v>-0,00167076426346295+0,0300339569042822i</v>
      </c>
      <c r="BD413" s="32">
        <f t="shared" si="412"/>
        <v>-30.4343299877232</v>
      </c>
      <c r="BE413" s="31">
        <f t="shared" si="413"/>
        <v>93.1840352433788</v>
      </c>
      <c r="BF413" s="30" t="str">
        <f t="shared" si="414"/>
        <v>-0,00576451985327393-0,0247550893164889i</v>
      </c>
      <c r="BG413" s="68">
        <f t="shared" si="415"/>
        <v>-31.897378110204</v>
      </c>
      <c r="BH413" s="31">
        <f t="shared" si="416"/>
        <v>-103.108409141869</v>
      </c>
      <c r="BI413" s="30" t="str">
        <f t="shared" si="369"/>
        <v>0,0262023392615556-0,0229939536755878i</v>
      </c>
      <c r="BJ413" s="68">
        <f t="shared" si="417"/>
        <v>-29.1532204528752</v>
      </c>
      <c r="BK413" s="31">
        <f t="shared" si="370"/>
        <v>-41.2686822100332</v>
      </c>
      <c r="BL413" s="32">
        <f t="shared" si="418"/>
        <v>-31.897378110204</v>
      </c>
      <c r="BM413" s="31">
        <f t="shared" si="419"/>
        <v>-103.108409141869</v>
      </c>
      <c r="BO413">
        <f t="shared" si="420"/>
        <v>0</v>
      </c>
      <c r="BP413">
        <f t="shared" si="421"/>
        <v>0</v>
      </c>
    </row>
    <row r="414" spans="14:68">
      <c r="N414" s="7">
        <v>96</v>
      </c>
      <c r="O414" s="18">
        <f t="shared" si="371"/>
        <v>91201.083935591</v>
      </c>
      <c r="P414" s="86" t="str">
        <f t="shared" si="372"/>
        <v>15</v>
      </c>
      <c r="Q414" s="4" t="str">
        <f t="shared" si="373"/>
        <v>1+167,134715586696i</v>
      </c>
      <c r="R414" s="4">
        <f t="shared" si="384"/>
        <v>167.137707158635</v>
      </c>
      <c r="S414" s="4">
        <f t="shared" si="385"/>
        <v>1.56481320076472</v>
      </c>
      <c r="T414" s="4" t="str">
        <f t="shared" si="374"/>
        <v>1+0,114606662116592i</v>
      </c>
      <c r="U414" s="4">
        <f t="shared" si="386"/>
        <v>1.00654591897315</v>
      </c>
      <c r="V414" s="4">
        <f t="shared" si="387"/>
        <v>0.114108805568418</v>
      </c>
      <c r="W414" t="str">
        <f t="shared" si="375"/>
        <v>1-10,0280829352018i</v>
      </c>
      <c r="X414" s="4">
        <f t="shared" si="388"/>
        <v>10.0778195734636</v>
      </c>
      <c r="Y414" s="4">
        <f t="shared" si="389"/>
        <v>-1.47140495219198</v>
      </c>
      <c r="Z414" t="str">
        <f t="shared" si="376"/>
        <v>0,940852354054921+0,532102359827031i</v>
      </c>
      <c r="AA414" s="4">
        <f t="shared" si="390"/>
        <v>1.08089595866771</v>
      </c>
      <c r="AB414" s="4">
        <f t="shared" si="391"/>
        <v>0.514706020827772</v>
      </c>
      <c r="AC414" s="67" t="str">
        <f t="shared" si="392"/>
        <v>-0,805797347029239+0,245050640571331i</v>
      </c>
      <c r="AD414" s="68">
        <f t="shared" si="393"/>
        <v>-1.49133806010117</v>
      </c>
      <c r="AE414" s="31">
        <f t="shared" si="394"/>
        <v>163.08498443552</v>
      </c>
      <c r="AF414" s="32" t="str">
        <f t="shared" si="395"/>
        <v>75,4669735059805</v>
      </c>
      <c r="AG414" s="32" t="str">
        <f t="shared" si="377"/>
        <v>1+107,443745734305i</v>
      </c>
      <c r="AH414" s="32">
        <f t="shared" si="396"/>
        <v>107.448399231529</v>
      </c>
      <c r="AI414" s="32">
        <f t="shared" si="397"/>
        <v>1.56148939952766</v>
      </c>
      <c r="AJ414" s="32" t="str">
        <f t="shared" si="378"/>
        <v>1+0,114606662116592i</v>
      </c>
      <c r="AK414" s="32">
        <f t="shared" si="398"/>
        <v>1.00654591897315</v>
      </c>
      <c r="AL414" s="32">
        <f t="shared" si="399"/>
        <v>0.114108805568418</v>
      </c>
      <c r="AM414" s="32" t="str">
        <f t="shared" si="379"/>
        <v>1-1,28134143583524i</v>
      </c>
      <c r="AN414" s="32">
        <f t="shared" si="400"/>
        <v>1.62537253427893</v>
      </c>
      <c r="AO414" s="32">
        <f t="shared" si="401"/>
        <v>-0.908101431154412</v>
      </c>
      <c r="AP414" s="30" t="str">
        <f t="shared" si="402"/>
        <v>-0,811930498077213-0,813088267395721i</v>
      </c>
      <c r="AQ414" s="32">
        <f t="shared" si="403"/>
        <v>1.20686985809492</v>
      </c>
      <c r="AR414" s="31">
        <f t="shared" si="404"/>
        <v>-134.959178757941</v>
      </c>
      <c r="AS414" t="str">
        <f t="shared" si="380"/>
        <v>-0,000338461538461538</v>
      </c>
      <c r="AT414" t="str">
        <f t="shared" si="381"/>
        <v>0,100311773150789i</v>
      </c>
      <c r="AU414">
        <f t="shared" si="405"/>
        <v>0.100311773150789</v>
      </c>
      <c r="AV414">
        <f t="shared" si="406"/>
        <v>1.5707963267949</v>
      </c>
      <c r="AW414" t="str">
        <f t="shared" si="382"/>
        <v>1+16,2802294297005i</v>
      </c>
      <c r="AX414">
        <f t="shared" si="407"/>
        <v>16.3109126134526</v>
      </c>
      <c r="AY414">
        <f t="shared" si="408"/>
        <v>1.50944920636747</v>
      </c>
      <c r="AZ414" t="str">
        <f t="shared" si="383"/>
        <v>1+142,112261024574i</v>
      </c>
      <c r="BA414">
        <f t="shared" si="409"/>
        <v>142.115779326283</v>
      </c>
      <c r="BB414">
        <f t="shared" si="410"/>
        <v>1.56375975241154</v>
      </c>
      <c r="BC414" s="30" t="str">
        <f t="shared" si="411"/>
        <v>-0,00159585013051329+0,0293549021198171i</v>
      </c>
      <c r="BD414" s="32">
        <f t="shared" si="412"/>
        <v>-30.6335708613616</v>
      </c>
      <c r="BE414" s="31">
        <f t="shared" si="413"/>
        <v>93.1117650713765</v>
      </c>
      <c r="BF414" s="30" t="str">
        <f t="shared" si="414"/>
        <v>-0,00590750576694603-0,0240451663471897i</v>
      </c>
      <c r="BG414" s="68">
        <f t="shared" si="415"/>
        <v>-32.1249089214627</v>
      </c>
      <c r="BH414" s="31">
        <f t="shared" si="416"/>
        <v>-103.803250493103</v>
      </c>
      <c r="BI414" s="30" t="str">
        <f t="shared" si="369"/>
        <v>0,0251638458954973-0,0225365732815086i</v>
      </c>
      <c r="BJ414" s="68">
        <f t="shared" si="417"/>
        <v>-29.4267010032667</v>
      </c>
      <c r="BK414" s="31">
        <f t="shared" si="370"/>
        <v>-41.8474136865643</v>
      </c>
      <c r="BL414" s="32">
        <f t="shared" si="418"/>
        <v>-32.1249089214627</v>
      </c>
      <c r="BM414" s="31">
        <f t="shared" si="419"/>
        <v>-103.803250493103</v>
      </c>
      <c r="BO414">
        <f t="shared" si="420"/>
        <v>0</v>
      </c>
      <c r="BP414">
        <f t="shared" si="421"/>
        <v>0</v>
      </c>
    </row>
    <row r="415" spans="14:68">
      <c r="N415" s="7">
        <v>97</v>
      </c>
      <c r="O415" s="18">
        <f t="shared" si="371"/>
        <v>93325.4300796991</v>
      </c>
      <c r="P415" s="86" t="str">
        <f t="shared" si="372"/>
        <v>15</v>
      </c>
      <c r="Q415" s="4" t="str">
        <f t="shared" si="373"/>
        <v>1+171,027783226703i</v>
      </c>
      <c r="R415" s="4">
        <f t="shared" si="384"/>
        <v>171.030706703329</v>
      </c>
      <c r="S415" s="4">
        <f t="shared" si="385"/>
        <v>1.56494939020043</v>
      </c>
      <c r="T415" s="4" t="str">
        <f t="shared" si="374"/>
        <v>1+0,117276194212596i</v>
      </c>
      <c r="U415" s="4">
        <f t="shared" si="386"/>
        <v>1.00685336853436</v>
      </c>
      <c r="V415" s="4">
        <f t="shared" si="387"/>
        <v>0.116742927227224</v>
      </c>
      <c r="W415" t="str">
        <f t="shared" si="375"/>
        <v>1-10,2616669936022i</v>
      </c>
      <c r="X415" s="4">
        <f t="shared" si="388"/>
        <v>10.3102768870474</v>
      </c>
      <c r="Y415" s="4">
        <f t="shared" si="389"/>
        <v>-1.47365300577328</v>
      </c>
      <c r="Z415" t="str">
        <f t="shared" si="376"/>
        <v>0,9380648113809+0,544496615987053i</v>
      </c>
      <c r="AA415" s="4">
        <f t="shared" si="390"/>
        <v>1.08463918201973</v>
      </c>
      <c r="AB415" s="4">
        <f t="shared" si="391"/>
        <v>0.525917978450009</v>
      </c>
      <c r="AC415" s="67" t="str">
        <f t="shared" si="392"/>
        <v>-0,800358948705427+0,253014221698124i</v>
      </c>
      <c r="AD415" s="68">
        <f t="shared" si="393"/>
        <v>-1.52063128474404</v>
      </c>
      <c r="AE415" s="31">
        <f t="shared" si="394"/>
        <v>162.456903575252</v>
      </c>
      <c r="AF415" s="32" t="str">
        <f t="shared" si="395"/>
        <v>75,4669735059805</v>
      </c>
      <c r="AG415" s="32" t="str">
        <f t="shared" si="377"/>
        <v>1+109,946432074309i</v>
      </c>
      <c r="AH415" s="32">
        <f t="shared" si="396"/>
        <v>109.950979649436</v>
      </c>
      <c r="AI415" s="32">
        <f t="shared" si="397"/>
        <v>1.56170123923778</v>
      </c>
      <c r="AJ415" s="32" t="str">
        <f t="shared" si="378"/>
        <v>1+0,117276194212596i</v>
      </c>
      <c r="AK415" s="32">
        <f t="shared" si="398"/>
        <v>1.00685336853436</v>
      </c>
      <c r="AL415" s="32">
        <f t="shared" si="399"/>
        <v>0.116742927227224</v>
      </c>
      <c r="AM415" s="32" t="str">
        <f t="shared" si="379"/>
        <v>1-1,31118771200916i</v>
      </c>
      <c r="AN415" s="32">
        <f t="shared" si="400"/>
        <v>1.64900370409645</v>
      </c>
      <c r="AO415" s="32">
        <f t="shared" si="401"/>
        <v>-0.919237312155941</v>
      </c>
      <c r="AP415" s="30" t="str">
        <f t="shared" si="402"/>
        <v>-0,812227863383613-0,799333271670723i</v>
      </c>
      <c r="AQ415" s="32">
        <f t="shared" si="403"/>
        <v>1.13491377863933</v>
      </c>
      <c r="AR415" s="31">
        <f t="shared" si="404"/>
        <v>-135.458431208038</v>
      </c>
      <c r="AS415" t="str">
        <f t="shared" si="380"/>
        <v>-0,000338461538461538</v>
      </c>
      <c r="AT415" t="str">
        <f t="shared" si="381"/>
        <v>0,102648334508459i</v>
      </c>
      <c r="AU415">
        <f t="shared" si="405"/>
        <v>0.102648334508459</v>
      </c>
      <c r="AV415">
        <f t="shared" si="406"/>
        <v>1.5707963267949</v>
      </c>
      <c r="AW415" t="str">
        <f t="shared" si="382"/>
        <v>1+16,6594446881354i</v>
      </c>
      <c r="AX415">
        <f t="shared" si="407"/>
        <v>16.6894307067989</v>
      </c>
      <c r="AY415">
        <f t="shared" si="408"/>
        <v>1.51084225462202</v>
      </c>
      <c r="AZ415" t="str">
        <f t="shared" si="383"/>
        <v>1+145,422480823619i</v>
      </c>
      <c r="BA415">
        <f t="shared" si="409"/>
        <v>145.425919040919</v>
      </c>
      <c r="BB415">
        <f t="shared" si="410"/>
        <v>1.56391991929155</v>
      </c>
      <c r="BC415" s="30" t="str">
        <f t="shared" si="411"/>
        <v>-0,00152428290846832+0,0286909988638142i</v>
      </c>
      <c r="BD415" s="32">
        <f t="shared" si="412"/>
        <v>-30.8328457741173</v>
      </c>
      <c r="BE415" s="31">
        <f t="shared" si="413"/>
        <v>93.0411261719747</v>
      </c>
      <c r="BF415" s="30" t="str">
        <f t="shared" si="414"/>
        <v>-0,00603925728111835-0,0233487629416848i</v>
      </c>
      <c r="BG415" s="68">
        <f t="shared" si="415"/>
        <v>-32.3534770588614</v>
      </c>
      <c r="BH415" s="31">
        <f t="shared" si="416"/>
        <v>-104.501970252774</v>
      </c>
      <c r="BI415" s="30" t="str">
        <f t="shared" si="369"/>
        <v>0,024171735039251-0,0220852186613197i</v>
      </c>
      <c r="BJ415" s="68">
        <f t="shared" si="417"/>
        <v>-29.697931995478</v>
      </c>
      <c r="BK415" s="31">
        <f t="shared" si="370"/>
        <v>-42.4173050360628</v>
      </c>
      <c r="BL415" s="32">
        <f t="shared" si="418"/>
        <v>-32.3534770588614</v>
      </c>
      <c r="BM415" s="31">
        <f t="shared" si="419"/>
        <v>-104.501970252774</v>
      </c>
      <c r="BO415">
        <f t="shared" si="420"/>
        <v>0</v>
      </c>
      <c r="BP415">
        <f t="shared" si="421"/>
        <v>0</v>
      </c>
    </row>
    <row r="416" spans="14:68">
      <c r="N416" s="7">
        <v>98</v>
      </c>
      <c r="O416" s="18">
        <f t="shared" si="371"/>
        <v>95499.2586021438</v>
      </c>
      <c r="P416" s="86" t="str">
        <f t="shared" si="372"/>
        <v>15</v>
      </c>
      <c r="Q416" s="4" t="str">
        <f t="shared" si="373"/>
        <v>1+175,011532061197i</v>
      </c>
      <c r="R416" s="4">
        <f t="shared" si="384"/>
        <v>175.014388992469</v>
      </c>
      <c r="S416" s="4">
        <f t="shared" si="385"/>
        <v>1.56508247979569</v>
      </c>
      <c r="T416" s="4" t="str">
        <f t="shared" si="374"/>
        <v>1+0,120007907699107i</v>
      </c>
      <c r="U416" s="4">
        <f t="shared" si="386"/>
        <v>1.00717520715629</v>
      </c>
      <c r="V416" s="4">
        <f t="shared" si="387"/>
        <v>0.119436721455749</v>
      </c>
      <c r="W416" t="str">
        <f t="shared" si="375"/>
        <v>1-10,5006919236719i</v>
      </c>
      <c r="X416" s="4">
        <f t="shared" si="388"/>
        <v>10.5482003619512</v>
      </c>
      <c r="Y416" s="4">
        <f t="shared" si="389"/>
        <v>-1.47585083958462</v>
      </c>
      <c r="Z416" t="str">
        <f t="shared" si="376"/>
        <v>0,935145895868024+0,557179571460137i</v>
      </c>
      <c r="AA416" s="4">
        <f t="shared" si="390"/>
        <v>1.08855267277762</v>
      </c>
      <c r="AB416" s="4">
        <f t="shared" si="391"/>
        <v>0.5373410469925</v>
      </c>
      <c r="AC416" s="67" t="str">
        <f t="shared" si="392"/>
        <v>-0,794730828881077+0,26093764919418i</v>
      </c>
      <c r="AD416" s="68">
        <f t="shared" si="393"/>
        <v>-1.55097096877831</v>
      </c>
      <c r="AE416" s="31">
        <f t="shared" si="394"/>
        <v>161.823200925283</v>
      </c>
      <c r="AF416" s="32" t="str">
        <f t="shared" si="395"/>
        <v>75,4669735059805</v>
      </c>
      <c r="AG416" s="32" t="str">
        <f t="shared" si="377"/>
        <v>1+112,507413467913i</v>
      </c>
      <c r="AH416" s="32">
        <f t="shared" si="396"/>
        <v>112.511857531728</v>
      </c>
      <c r="AI416" s="32">
        <f t="shared" si="397"/>
        <v>1.56190825767618</v>
      </c>
      <c r="AJ416" s="32" t="str">
        <f t="shared" si="378"/>
        <v>1+0,120007907699107i</v>
      </c>
      <c r="AK416" s="32">
        <f t="shared" si="398"/>
        <v>1.00717520715629</v>
      </c>
      <c r="AL416" s="32">
        <f t="shared" si="399"/>
        <v>0.119436721455749</v>
      </c>
      <c r="AM416" s="32" t="str">
        <f t="shared" si="379"/>
        <v>1-1,34172919726362i</v>
      </c>
      <c r="AN416" s="32">
        <f t="shared" si="400"/>
        <v>1.67339094021382</v>
      </c>
      <c r="AO416" s="32">
        <f t="shared" si="401"/>
        <v>-0.930305588050672</v>
      </c>
      <c r="AP416" s="30" t="str">
        <f t="shared" si="402"/>
        <v>-0,812511847210891-0,78600184952395i</v>
      </c>
      <c r="AQ416" s="32">
        <f t="shared" si="403"/>
        <v>1.06522157417552</v>
      </c>
      <c r="AR416" s="31">
        <f t="shared" si="404"/>
        <v>-135.950114945923</v>
      </c>
      <c r="AS416" t="str">
        <f t="shared" si="380"/>
        <v>-0,000338461538461538</v>
      </c>
      <c r="AT416" t="str">
        <f t="shared" si="381"/>
        <v>0,105039321371797i</v>
      </c>
      <c r="AU416">
        <f t="shared" si="405"/>
        <v>0.105039321371797</v>
      </c>
      <c r="AV416">
        <f t="shared" si="406"/>
        <v>1.5707963267949</v>
      </c>
      <c r="AW416" t="str">
        <f t="shared" si="382"/>
        <v>1+17,0474930046579i</v>
      </c>
      <c r="AX416">
        <f t="shared" si="407"/>
        <v>17.0767976431139</v>
      </c>
      <c r="AY416">
        <f t="shared" si="408"/>
        <v>1.51220381838041</v>
      </c>
      <c r="AZ416" t="str">
        <f t="shared" si="383"/>
        <v>1+148,809805546892i</v>
      </c>
      <c r="BA416">
        <f t="shared" si="409"/>
        <v>148.813165502599</v>
      </c>
      <c r="BB416">
        <f t="shared" si="410"/>
        <v>1.56407644066918</v>
      </c>
      <c r="BC416" s="30" t="str">
        <f t="shared" si="411"/>
        <v>-0,00145591413045607+0,0280419224848173i</v>
      </c>
      <c r="BD416" s="32">
        <f t="shared" si="412"/>
        <v>-31.0321532051306</v>
      </c>
      <c r="BE416" s="31">
        <f t="shared" si="413"/>
        <v>92.9720823294228</v>
      </c>
      <c r="BF416" s="30" t="str">
        <f t="shared" si="414"/>
        <v>-0,00616013348839662-0,0226656831104076i</v>
      </c>
      <c r="BG416" s="68">
        <f t="shared" si="415"/>
        <v>-32.5831241739089</v>
      </c>
      <c r="BH416" s="31">
        <f t="shared" si="416"/>
        <v>-105.204716745294</v>
      </c>
      <c r="BI416" s="30" t="str">
        <f t="shared" si="369"/>
        <v>0,0232239504167909-0,021640043038197i</v>
      </c>
      <c r="BJ416" s="68">
        <f t="shared" si="417"/>
        <v>-29.9669316309551</v>
      </c>
      <c r="BK416" s="31">
        <f t="shared" si="370"/>
        <v>-42.9780326165001</v>
      </c>
      <c r="BL416" s="32">
        <f t="shared" si="418"/>
        <v>-32.5831241739089</v>
      </c>
      <c r="BM416" s="31">
        <f t="shared" si="419"/>
        <v>-105.204716745294</v>
      </c>
      <c r="BO416">
        <f t="shared" si="420"/>
        <v>0</v>
      </c>
      <c r="BP416">
        <f t="shared" si="421"/>
        <v>0</v>
      </c>
    </row>
    <row r="417" spans="14:68">
      <c r="N417" s="7">
        <v>99</v>
      </c>
      <c r="O417" s="18">
        <f t="shared" si="371"/>
        <v>97723.7220955813</v>
      </c>
      <c r="P417" s="86" t="str">
        <f t="shared" si="372"/>
        <v>15</v>
      </c>
      <c r="Q417" s="4" t="str">
        <f t="shared" si="373"/>
        <v>1+179,088074326542i</v>
      </c>
      <c r="R417" s="4">
        <f t="shared" si="384"/>
        <v>179.090866227145</v>
      </c>
      <c r="S417" s="4">
        <f t="shared" si="385"/>
        <v>1.5652125400975</v>
      </c>
      <c r="T417" s="4" t="str">
        <f t="shared" si="374"/>
        <v>1+0,122803250966771i</v>
      </c>
      <c r="U417" s="4">
        <f t="shared" si="386"/>
        <v>1.00751210337544</v>
      </c>
      <c r="V417" s="4">
        <f t="shared" si="387"/>
        <v>0.122191460074455</v>
      </c>
      <c r="W417" t="str">
        <f t="shared" si="375"/>
        <v>1-10,7452844595925i</v>
      </c>
      <c r="X417" s="4">
        <f t="shared" si="388"/>
        <v>10.7917161803654</v>
      </c>
      <c r="Y417" s="4">
        <f t="shared" si="389"/>
        <v>-1.47799953396721</v>
      </c>
      <c r="Z417" t="str">
        <f t="shared" si="376"/>
        <v>0,932089416105142+0,570157950917151i</v>
      </c>
      <c r="AA417" s="4">
        <f t="shared" si="390"/>
        <v>1.09264393496201</v>
      </c>
      <c r="AB417" s="4">
        <f t="shared" si="391"/>
        <v>0.548977160285585</v>
      </c>
      <c r="AC417" s="67" t="str">
        <f t="shared" si="392"/>
        <v>-0,788909447398008+0,268816037022877i</v>
      </c>
      <c r="AD417" s="68">
        <f t="shared" si="393"/>
        <v>-1.58240100726806</v>
      </c>
      <c r="AE417" s="31">
        <f t="shared" si="394"/>
        <v>161.183772614205</v>
      </c>
      <c r="AF417" s="32" t="str">
        <f t="shared" si="395"/>
        <v>75,4669735059805</v>
      </c>
      <c r="AG417" s="32" t="str">
        <f t="shared" si="377"/>
        <v>1+115,128047781348i</v>
      </c>
      <c r="AH417" s="32">
        <f t="shared" si="396"/>
        <v>115.132390689781</v>
      </c>
      <c r="AI417" s="32">
        <f t="shared" si="397"/>
        <v>1.56211056453578</v>
      </c>
      <c r="AJ417" s="32" t="str">
        <f t="shared" si="378"/>
        <v>1+0,122803250966771i</v>
      </c>
      <c r="AK417" s="32">
        <f t="shared" si="398"/>
        <v>1.00751210337544</v>
      </c>
      <c r="AL417" s="32">
        <f t="shared" si="399"/>
        <v>0.122191460074455</v>
      </c>
      <c r="AM417" s="32" t="str">
        <f t="shared" si="379"/>
        <v>1-1,37298208509834i</v>
      </c>
      <c r="AN417" s="32">
        <f t="shared" si="400"/>
        <v>1.69855226766826</v>
      </c>
      <c r="AO417" s="32">
        <f t="shared" si="401"/>
        <v>-0.941301280292623</v>
      </c>
      <c r="AP417" s="30" t="str">
        <f t="shared" si="402"/>
        <v>-0,812783051634404-0,773086948709158i</v>
      </c>
      <c r="AQ417" s="32">
        <f t="shared" si="403"/>
        <v>0.997771967847399</v>
      </c>
      <c r="AR417" s="31">
        <f t="shared" si="404"/>
        <v>-136.433878136919</v>
      </c>
      <c r="AS417" t="str">
        <f t="shared" si="380"/>
        <v>-0,000338461538461538</v>
      </c>
      <c r="AT417" t="str">
        <f t="shared" si="381"/>
        <v>0,107486001473686i</v>
      </c>
      <c r="AU417">
        <f t="shared" si="405"/>
        <v>0.107486001473686</v>
      </c>
      <c r="AV417">
        <f t="shared" si="406"/>
        <v>1.5707963267949</v>
      </c>
      <c r="AW417" t="str">
        <f t="shared" si="382"/>
        <v>1+17,4445801276215i</v>
      </c>
      <c r="AX417">
        <f t="shared" si="407"/>
        <v>17.4732188170642</v>
      </c>
      <c r="AY417">
        <f t="shared" si="408"/>
        <v>1.5135345993572</v>
      </c>
      <c r="AZ417" t="str">
        <f t="shared" si="383"/>
        <v>1+152,276031198796i</v>
      </c>
      <c r="BA417">
        <f t="shared" si="409"/>
        <v>152.279314674242</v>
      </c>
      <c r="BB417">
        <f t="shared" si="410"/>
        <v>1.56422939950344</v>
      </c>
      <c r="BC417" s="30" t="str">
        <f t="shared" si="411"/>
        <v>-0,00139060182234703+0,0274073543878626i</v>
      </c>
      <c r="BD417" s="32">
        <f t="shared" si="412"/>
        <v>-31.231491701015</v>
      </c>
      <c r="BE417" s="31">
        <f t="shared" si="413"/>
        <v>92.9045980916389</v>
      </c>
      <c r="BF417" s="30" t="str">
        <f t="shared" si="414"/>
        <v>-0,00627047747660832-0,0219957368757302i</v>
      </c>
      <c r="BG417" s="68">
        <f t="shared" si="415"/>
        <v>-32.813892708283</v>
      </c>
      <c r="BH417" s="31">
        <f t="shared" si="416"/>
        <v>-105.911629294156</v>
      </c>
      <c r="BI417" s="30" t="str">
        <f t="shared" si="369"/>
        <v>0,0223185255686788-0,0212011770168849i</v>
      </c>
      <c r="BJ417" s="68">
        <f t="shared" si="417"/>
        <v>-30.2337197331676</v>
      </c>
      <c r="BK417" s="31">
        <f t="shared" si="370"/>
        <v>-43.5292800452805</v>
      </c>
      <c r="BL417" s="32">
        <f t="shared" si="418"/>
        <v>-32.813892708283</v>
      </c>
      <c r="BM417" s="31">
        <f t="shared" si="419"/>
        <v>-105.911629294156</v>
      </c>
      <c r="BO417">
        <f t="shared" si="420"/>
        <v>0</v>
      </c>
      <c r="BP417">
        <f t="shared" si="421"/>
        <v>0</v>
      </c>
    </row>
    <row r="418" spans="14:68">
      <c r="N418" s="7">
        <v>100</v>
      </c>
      <c r="O418" s="18">
        <f t="shared" si="371"/>
        <v>100000</v>
      </c>
      <c r="P418" s="86" t="str">
        <f t="shared" si="372"/>
        <v>15</v>
      </c>
      <c r="Q418" s="4" t="str">
        <f t="shared" si="373"/>
        <v>1+183,259571459405i</v>
      </c>
      <c r="R418" s="4">
        <f t="shared" si="384"/>
        <v>183.262299809548</v>
      </c>
      <c r="S418" s="4">
        <f t="shared" si="385"/>
        <v>1.56533964004793</v>
      </c>
      <c r="T418" s="4" t="str">
        <f t="shared" si="374"/>
        <v>1+0,125663706143592i</v>
      </c>
      <c r="U418" s="4">
        <f t="shared" si="386"/>
        <v>1.00786475632485</v>
      </c>
      <c r="V418" s="4">
        <f t="shared" si="387"/>
        <v>0.125008436355952</v>
      </c>
      <c r="W418" t="str">
        <f t="shared" si="375"/>
        <v>1-10,9955742875643i</v>
      </c>
      <c r="X418" s="4">
        <f t="shared" si="388"/>
        <v>11.0409534875094</v>
      </c>
      <c r="Y418" s="4">
        <f t="shared" si="389"/>
        <v>-1.48010014878125</v>
      </c>
      <c r="Z418" t="str">
        <f t="shared" si="376"/>
        <v>0,928888888888889+0,583438635666675i</v>
      </c>
      <c r="AA418" s="4">
        <f t="shared" si="390"/>
        <v>1.09692078542155</v>
      </c>
      <c r="AB418" s="4">
        <f t="shared" si="391"/>
        <v>0.560828144536369</v>
      </c>
      <c r="AC418" s="67" t="str">
        <f t="shared" si="392"/>
        <v>-0,782891439962394+0,276644145921624i</v>
      </c>
      <c r="AD418" s="68">
        <f t="shared" si="393"/>
        <v>-1.61496600300626</v>
      </c>
      <c r="AE418" s="31">
        <f t="shared" si="394"/>
        <v>160.538523431514</v>
      </c>
      <c r="AF418" s="32" t="str">
        <f t="shared" si="395"/>
        <v>75,4669735059805</v>
      </c>
      <c r="AG418" s="32" t="str">
        <f t="shared" si="377"/>
        <v>1+117,809724509617i</v>
      </c>
      <c r="AH418" s="32">
        <f t="shared" si="396"/>
        <v>117.813968564987</v>
      </c>
      <c r="AI418" s="32">
        <f t="shared" si="397"/>
        <v>1.56230826701607</v>
      </c>
      <c r="AJ418" s="32" t="str">
        <f t="shared" si="378"/>
        <v>1+0,125663706143592i</v>
      </c>
      <c r="AK418" s="32">
        <f t="shared" si="398"/>
        <v>1.00786475632485</v>
      </c>
      <c r="AL418" s="32">
        <f t="shared" si="399"/>
        <v>0.125008436355952</v>
      </c>
      <c r="AM418" s="32" t="str">
        <f t="shared" si="379"/>
        <v>1-1,40496294620815i</v>
      </c>
      <c r="AN418" s="32">
        <f t="shared" si="400"/>
        <v>1.7245059814967</v>
      </c>
      <c r="AO418" s="32">
        <f t="shared" si="401"/>
        <v>-0.952219583769041</v>
      </c>
      <c r="AP418" s="30" t="str">
        <f t="shared" si="402"/>
        <v>-0,813042051648403-0,760581736740845i</v>
      </c>
      <c r="AQ418" s="32">
        <f t="shared" si="403"/>
        <v>0.932542239562505</v>
      </c>
      <c r="AR418" s="31">
        <f t="shared" si="404"/>
        <v>-136.909377511363</v>
      </c>
      <c r="AS418" t="str">
        <f t="shared" si="380"/>
        <v>-0,000338461538461538</v>
      </c>
      <c r="AT418" t="str">
        <f t="shared" si="381"/>
        <v>0,109989672076302i</v>
      </c>
      <c r="AU418">
        <f t="shared" si="405"/>
        <v>0.109989672076302</v>
      </c>
      <c r="AV418">
        <f t="shared" si="406"/>
        <v>1.5707963267949</v>
      </c>
      <c r="AW418" t="str">
        <f t="shared" si="382"/>
        <v>1+17,8509165978752i</v>
      </c>
      <c r="AX418">
        <f t="shared" si="407"/>
        <v>17.8789044234902</v>
      </c>
      <c r="AY418">
        <f t="shared" si="408"/>
        <v>1.51483528428514</v>
      </c>
      <c r="AZ418" t="str">
        <f t="shared" si="383"/>
        <v>1+155,822995618054i</v>
      </c>
      <c r="BA418">
        <f t="shared" si="409"/>
        <v>155.826204354031</v>
      </c>
      <c r="BB418">
        <f t="shared" si="410"/>
        <v>1.56437887686648</v>
      </c>
      <c r="BC418" s="30" t="str">
        <f t="shared" si="411"/>
        <v>-0,00132821022700548+0,0267869819837401i</v>
      </c>
      <c r="BD418" s="32">
        <f t="shared" si="412"/>
        <v>-31.4308598729064</v>
      </c>
      <c r="BE418" s="31">
        <f t="shared" si="413"/>
        <v>92.8386387568267</v>
      </c>
      <c r="BF418" s="30" t="str">
        <f t="shared" si="414"/>
        <v>-0,00637061733551661-0,0213387404813513i</v>
      </c>
      <c r="BG418" s="68">
        <f t="shared" si="415"/>
        <v>-33.0458258759127</v>
      </c>
      <c r="BH418" s="31">
        <f t="shared" si="416"/>
        <v>-106.622837811659</v>
      </c>
      <c r="BI418" s="30" t="str">
        <f t="shared" si="369"/>
        <v>0,0214535800472237-0,0207687303483161i</v>
      </c>
      <c r="BJ418" s="68">
        <f t="shared" si="417"/>
        <v>-30.4983176333439</v>
      </c>
      <c r="BK418" s="31">
        <f t="shared" si="370"/>
        <v>-44.0707387545358</v>
      </c>
      <c r="BL418" s="32">
        <f t="shared" si="418"/>
        <v>-33.0458258759127</v>
      </c>
      <c r="BM418" s="31">
        <f t="shared" si="419"/>
        <v>-106.622837811659</v>
      </c>
      <c r="BO418">
        <f t="shared" si="420"/>
        <v>0</v>
      </c>
      <c r="BP418">
        <f t="shared" si="421"/>
        <v>0</v>
      </c>
    </row>
    <row r="419" spans="14:68">
      <c r="N419" s="7">
        <v>1</v>
      </c>
      <c r="O419" s="18">
        <f>10^(5+(N419/100))</f>
        <v>102329.299228075</v>
      </c>
      <c r="P419" s="86" t="str">
        <f t="shared" si="372"/>
        <v>15</v>
      </c>
      <c r="Q419" s="4" t="str">
        <f t="shared" si="373"/>
        <v>1+187,528235242783i</v>
      </c>
      <c r="R419" s="4">
        <f t="shared" si="384"/>
        <v>187.530901488988</v>
      </c>
      <c r="S419" s="4">
        <f t="shared" si="385"/>
        <v>1.56546384702063</v>
      </c>
      <c r="T419" s="4" t="str">
        <f t="shared" si="374"/>
        <v>1+0,128590789880765i</v>
      </c>
      <c r="U419" s="4">
        <f t="shared" si="386"/>
        <v>1.00823389709043</v>
      </c>
      <c r="V419" s="4">
        <f t="shared" si="387"/>
        <v>0.127888964973053</v>
      </c>
      <c r="W419" t="str">
        <f t="shared" si="375"/>
        <v>1-11,251694114567i</v>
      </c>
      <c r="X419" s="4">
        <f t="shared" si="388"/>
        <v>11.2960444602428</v>
      </c>
      <c r="Y419" s="4">
        <f t="shared" si="389"/>
        <v>-1.48215372360647</v>
      </c>
      <c r="Z419" t="str">
        <f t="shared" si="376"/>
        <v>0,925537525471936+0,597028667303552i</v>
      </c>
      <c r="AA419" s="4">
        <f t="shared" si="390"/>
        <v>1.101391365791</v>
      </c>
      <c r="AB419" s="4">
        <f t="shared" si="391"/>
        <v>0.572895710560564</v>
      </c>
      <c r="AC419" s="67" t="str">
        <f t="shared" si="392"/>
        <v>-0,776673642219989+0,284416383385372i</v>
      </c>
      <c r="AD419" s="68">
        <f t="shared" si="393"/>
        <v>-1.64871124713074</v>
      </c>
      <c r="AE419" s="31">
        <f t="shared" si="394"/>
        <v>159.887367256137</v>
      </c>
      <c r="AF419" s="32" t="str">
        <f t="shared" si="395"/>
        <v>75,4669735059805</v>
      </c>
      <c r="AG419" s="32" t="str">
        <f t="shared" si="377"/>
        <v>1+120,553865513218i</v>
      </c>
      <c r="AH419" s="32">
        <f t="shared" si="396"/>
        <v>120.558012965456</v>
      </c>
      <c r="AI419" s="32">
        <f t="shared" si="397"/>
        <v>1.56250146987966</v>
      </c>
      <c r="AJ419" s="32" t="str">
        <f t="shared" si="378"/>
        <v>1+0,128590789880765i</v>
      </c>
      <c r="AK419" s="32">
        <f t="shared" si="398"/>
        <v>1.00823389709043</v>
      </c>
      <c r="AL419" s="32">
        <f t="shared" si="399"/>
        <v>0.127888964973053</v>
      </c>
      <c r="AM419" s="32" t="str">
        <f t="shared" si="379"/>
        <v>1-1,43768873726892i</v>
      </c>
      <c r="AN419" s="32">
        <f t="shared" si="400"/>
        <v>1.75127065448774</v>
      </c>
      <c r="AO419" s="32">
        <f t="shared" si="401"/>
        <v>-0.963055875223849</v>
      </c>
      <c r="AP419" s="30" t="str">
        <f t="shared" si="402"/>
        <v>-0,813289396383406-0,748479597343957i</v>
      </c>
      <c r="AQ419" s="32">
        <f t="shared" si="403"/>
        <v>0.869508341812207</v>
      </c>
      <c r="AR419" s="31">
        <f t="shared" si="404"/>
        <v>-137.376278853444</v>
      </c>
      <c r="AS419" t="str">
        <f t="shared" si="380"/>
        <v>-0,000338461538461538</v>
      </c>
      <c r="AT419" t="str">
        <f t="shared" si="381"/>
        <v>0,112551660658937i</v>
      </c>
      <c r="AU419">
        <f t="shared" si="405"/>
        <v>0.112551660658937</v>
      </c>
      <c r="AV419">
        <f t="shared" si="406"/>
        <v>1.5707963267949</v>
      </c>
      <c r="AW419" t="str">
        <f t="shared" si="382"/>
        <v>1+18,2667178603939i</v>
      </c>
      <c r="AX419">
        <f t="shared" si="407"/>
        <v>18.2940695688858</v>
      </c>
      <c r="AY419">
        <f t="shared" si="408"/>
        <v>1.51610654519084</v>
      </c>
      <c r="AZ419" t="str">
        <f t="shared" si="383"/>
        <v>1+159,452579452149i</v>
      </c>
      <c r="BA419">
        <f t="shared" si="409"/>
        <v>159.455715149831</v>
      </c>
      <c r="BB419">
        <f t="shared" si="410"/>
        <v>1.56452495198645</v>
      </c>
      <c r="BC419" s="30" t="str">
        <f t="shared" si="411"/>
        <v>-0,00126860953952665+0,0261804986337978i</v>
      </c>
      <c r="BD419" s="32">
        <f t="shared" si="412"/>
        <v>-31.6302563936367</v>
      </c>
      <c r="BE419" s="31">
        <f t="shared" si="413"/>
        <v>92.7741703601362</v>
      </c>
      <c r="BF419" s="30" t="str">
        <f t="shared" si="414"/>
        <v>-0,00646086714503126-0,0206945165662075i</v>
      </c>
      <c r="BG419" s="68">
        <f t="shared" si="415"/>
        <v>-33.2789676407675</v>
      </c>
      <c r="BH419" s="31">
        <f t="shared" si="416"/>
        <v>-107.338462383727</v>
      </c>
      <c r="BI419" s="30" t="str">
        <f t="shared" si="369"/>
        <v>0,0206273157623369-0,0203427935735664i</v>
      </c>
      <c r="BJ419" s="68">
        <f t="shared" si="417"/>
        <v>-30.7607480518245</v>
      </c>
      <c r="BK419" s="31">
        <f t="shared" si="370"/>
        <v>-44.6021084933076</v>
      </c>
      <c r="BL419" s="32">
        <f t="shared" si="418"/>
        <v>-33.2789676407675</v>
      </c>
      <c r="BM419" s="31">
        <f t="shared" si="419"/>
        <v>-107.338462383727</v>
      </c>
      <c r="BO419">
        <f t="shared" si="420"/>
        <v>0</v>
      </c>
      <c r="BP419">
        <f t="shared" si="421"/>
        <v>0</v>
      </c>
    </row>
    <row r="420" spans="14:68">
      <c r="N420" s="7">
        <v>2</v>
      </c>
      <c r="O420" s="18">
        <f t="shared" ref="O420:O483" si="422">10^(5+(N420/100))</f>
        <v>104712.85480509</v>
      </c>
      <c r="P420" s="86" t="str">
        <f t="shared" si="372"/>
        <v>15</v>
      </c>
      <c r="Q420" s="4" t="str">
        <f t="shared" si="373"/>
        <v>1+191,896328978716i</v>
      </c>
      <c r="R420" s="4">
        <f t="shared" si="384"/>
        <v>191.898934534581</v>
      </c>
      <c r="S420" s="4">
        <f t="shared" si="385"/>
        <v>1.56558522685645</v>
      </c>
      <c r="T420" s="4" t="str">
        <f t="shared" si="374"/>
        <v>1+0,131586054156834i</v>
      </c>
      <c r="U420" s="4">
        <f t="shared" si="386"/>
        <v>1.00862029012338</v>
      </c>
      <c r="V420" s="4">
        <f t="shared" si="387"/>
        <v>0.130834381910024</v>
      </c>
      <c r="W420" t="str">
        <f t="shared" si="375"/>
        <v>1-11,513779738723i</v>
      </c>
      <c r="X420" s="4">
        <f t="shared" si="388"/>
        <v>11.557124377276</v>
      </c>
      <c r="Y420" s="4">
        <f t="shared" si="389"/>
        <v>-1.48416127795489</v>
      </c>
      <c r="Z420" t="str">
        <f t="shared" si="376"/>
        <v>0,922028217163151+0,610935251442443i</v>
      </c>
      <c r="AA420" s="4">
        <f t="shared" si="390"/>
        <v>1.10606415487534</v>
      </c>
      <c r="AB420" s="4">
        <f t="shared" si="391"/>
        <v>0.585181445907712</v>
      </c>
      <c r="AC420" s="67" t="str">
        <f t="shared" si="392"/>
        <v>-0,770253114765297+0,292126805252104i</v>
      </c>
      <c r="AD420" s="68">
        <f t="shared" si="393"/>
        <v>-1.68368269512971</v>
      </c>
      <c r="AE420" s="31">
        <f t="shared" si="394"/>
        <v>159.230227488308</v>
      </c>
      <c r="AF420" s="32" t="str">
        <f t="shared" si="395"/>
        <v>75,4669735059805</v>
      </c>
      <c r="AG420" s="32" t="str">
        <f t="shared" si="377"/>
        <v>1+123,361925772032i</v>
      </c>
      <c r="AH420" s="32">
        <f t="shared" si="396"/>
        <v>123.365978819869</v>
      </c>
      <c r="AI420" s="32">
        <f t="shared" si="397"/>
        <v>1.56269027550754</v>
      </c>
      <c r="AJ420" s="32" t="str">
        <f t="shared" si="378"/>
        <v>1+0,131586054156834i</v>
      </c>
      <c r="AK420" s="32">
        <f t="shared" si="398"/>
        <v>1.00862029012338</v>
      </c>
      <c r="AL420" s="32">
        <f t="shared" si="399"/>
        <v>0.130834381910024</v>
      </c>
      <c r="AM420" s="32" t="str">
        <f t="shared" si="379"/>
        <v>1-1,47117680992825i</v>
      </c>
      <c r="AN420" s="32">
        <f t="shared" si="400"/>
        <v>1.77886514555507</v>
      </c>
      <c r="AO420" s="32">
        <f t="shared" si="401"/>
        <v>-0.973805720701639</v>
      </c>
      <c r="AP420" s="30" t="str">
        <f t="shared" si="402"/>
        <v>-0,813525610268945-0,736774127013379i</v>
      </c>
      <c r="AQ420" s="32">
        <f t="shared" si="403"/>
        <v>0.808645019227553</v>
      </c>
      <c r="AR420" s="31">
        <f t="shared" si="404"/>
        <v>-137.83425743597</v>
      </c>
      <c r="AS420" t="str">
        <f t="shared" si="380"/>
        <v>-0,000338461538461538</v>
      </c>
      <c r="AT420" t="str">
        <f t="shared" si="381"/>
        <v>0,115173325621852i</v>
      </c>
      <c r="AU420">
        <f t="shared" si="405"/>
        <v>0.115173325621852</v>
      </c>
      <c r="AV420">
        <f t="shared" si="406"/>
        <v>1.5707963267949</v>
      </c>
      <c r="AW420" t="str">
        <f t="shared" si="382"/>
        <v>1+18,6922043785108i</v>
      </c>
      <c r="AX420">
        <f t="shared" si="407"/>
        <v>18.718934385483</v>
      </c>
      <c r="AY420">
        <f t="shared" si="408"/>
        <v>1.51734903966842</v>
      </c>
      <c r="AZ420" t="str">
        <f t="shared" si="383"/>
        <v>1+163,166707154474i</v>
      </c>
      <c r="BA420">
        <f t="shared" si="409"/>
        <v>163.169771476318</v>
      </c>
      <c r="BB420">
        <f t="shared" si="410"/>
        <v>1.56466770228935</v>
      </c>
      <c r="BC420" s="30" t="str">
        <f t="shared" si="411"/>
        <v>-0,00121167565308714+0,0255876035907411i</v>
      </c>
      <c r="BD420" s="32">
        <f t="shared" si="412"/>
        <v>-31.8296799950283</v>
      </c>
      <c r="BE420" s="31">
        <f t="shared" si="413"/>
        <v>92.7111596603828</v>
      </c>
      <c r="BF420" s="30" t="str">
        <f t="shared" si="414"/>
        <v>-0,00654152794514482-0,0200628943026861i</v>
      </c>
      <c r="BG420" s="68">
        <f t="shared" si="415"/>
        <v>-33.513362690158</v>
      </c>
      <c r="BH420" s="31">
        <f t="shared" si="416"/>
        <v>-108.058612851309</v>
      </c>
      <c r="BI420" s="30" t="str">
        <f t="shared" si="369"/>
        <v>0,0198380134730584-0,0199234395549509i</v>
      </c>
      <c r="BJ420" s="68">
        <f t="shared" si="417"/>
        <v>-31.0210349758007</v>
      </c>
      <c r="BK420" s="31">
        <f t="shared" si="370"/>
        <v>-45.1230977755875</v>
      </c>
      <c r="BL420" s="32">
        <f t="shared" si="418"/>
        <v>-33.513362690158</v>
      </c>
      <c r="BM420" s="31">
        <f t="shared" si="419"/>
        <v>-108.058612851309</v>
      </c>
      <c r="BO420">
        <f t="shared" si="420"/>
        <v>0</v>
      </c>
      <c r="BP420">
        <f t="shared" si="421"/>
        <v>0</v>
      </c>
    </row>
    <row r="421" spans="14:68">
      <c r="N421" s="7">
        <v>3</v>
      </c>
      <c r="O421" s="18">
        <f t="shared" si="422"/>
        <v>107151.930523761</v>
      </c>
      <c r="P421" s="86" t="str">
        <f t="shared" si="372"/>
        <v>15</v>
      </c>
      <c r="Q421" s="4" t="str">
        <f t="shared" si="373"/>
        <v>1+196,366168688323i</v>
      </c>
      <c r="R421" s="4">
        <f t="shared" si="384"/>
        <v>196.368714935274</v>
      </c>
      <c r="S421" s="4">
        <f t="shared" si="385"/>
        <v>1.56570384389825</v>
      </c>
      <c r="T421" s="4" t="str">
        <f t="shared" si="374"/>
        <v>1+0,134651087100564i</v>
      </c>
      <c r="U421" s="4">
        <f t="shared" si="386"/>
        <v>1.00902473471039</v>
      </c>
      <c r="V421" s="4">
        <f t="shared" si="387"/>
        <v>0.133846044334077</v>
      </c>
      <c r="W421" t="str">
        <f t="shared" si="375"/>
        <v>1-11,7819701212994i</v>
      </c>
      <c r="X421" s="4">
        <f t="shared" si="388"/>
        <v>11.8243316910171</v>
      </c>
      <c r="Y421" s="4">
        <f t="shared" si="389"/>
        <v>-1.48612381149456</v>
      </c>
      <c r="Z421" t="str">
        <f t="shared" si="376"/>
        <v>0,91835352024911+0,625165761538333i</v>
      </c>
      <c r="AA421" s="4">
        <f t="shared" si="390"/>
        <v>1.11094798147966</v>
      </c>
      <c r="AB421" s="4">
        <f t="shared" si="391"/>
        <v>0.597686806907771</v>
      </c>
      <c r="AC421" s="67" t="str">
        <f t="shared" si="392"/>
        <v>-0,763627168995741+0,299769119035299i</v>
      </c>
      <c r="AD421" s="68">
        <f t="shared" si="393"/>
        <v>-1.71992693805973</v>
      </c>
      <c r="AE421" s="31">
        <f t="shared" si="394"/>
        <v>158.567037483084</v>
      </c>
      <c r="AF421" s="32" t="str">
        <f t="shared" si="395"/>
        <v>75,4669735059805</v>
      </c>
      <c r="AG421" s="32" t="str">
        <f t="shared" si="377"/>
        <v>1+126,235394156779i</v>
      </c>
      <c r="AH421" s="32">
        <f t="shared" si="396"/>
        <v>126.239354948912</v>
      </c>
      <c r="AI421" s="32">
        <f t="shared" si="397"/>
        <v>1.56287478395309</v>
      </c>
      <c r="AJ421" s="32" t="str">
        <f t="shared" si="378"/>
        <v>1+0,134651087100564i</v>
      </c>
      <c r="AK421" s="32">
        <f t="shared" si="398"/>
        <v>1.00902473471039</v>
      </c>
      <c r="AL421" s="32">
        <f t="shared" si="399"/>
        <v>0.133846044334077</v>
      </c>
      <c r="AM421" s="32" t="str">
        <f t="shared" si="379"/>
        <v>1-1,50544492000553i</v>
      </c>
      <c r="AN421" s="32">
        <f t="shared" si="400"/>
        <v>1.80730860872471</v>
      </c>
      <c r="AO421" s="32">
        <f t="shared" si="401"/>
        <v>-0.9844648820006</v>
      </c>
      <c r="AP421" s="30" t="str">
        <f t="shared" si="402"/>
        <v>-0,813751194144015-0,725459131681688i</v>
      </c>
      <c r="AQ421" s="32">
        <f t="shared" si="403"/>
        <v>0.749925931100883</v>
      </c>
      <c r="AR421" s="31">
        <f t="shared" si="404"/>
        <v>-138.282998400548</v>
      </c>
      <c r="AS421" t="str">
        <f t="shared" si="380"/>
        <v>-0,000338461538461538</v>
      </c>
      <c r="AT421" t="str">
        <f t="shared" si="381"/>
        <v>0,117856057006511i</v>
      </c>
      <c r="AU421">
        <f t="shared" si="405"/>
        <v>0.117856057006511</v>
      </c>
      <c r="AV421">
        <f t="shared" si="406"/>
        <v>1.5707963267949</v>
      </c>
      <c r="AW421" t="str">
        <f t="shared" si="382"/>
        <v>1+19,1276017508097i</v>
      </c>
      <c r="AX421">
        <f t="shared" si="407"/>
        <v>19.1537241479974</v>
      </c>
      <c r="AY421">
        <f t="shared" si="408"/>
        <v>1.51856341115098</v>
      </c>
      <c r="AZ421" t="str">
        <f t="shared" si="383"/>
        <v>1+166,9673480047i</v>
      </c>
      <c r="BA421">
        <f t="shared" si="409"/>
        <v>166.970342575329</v>
      </c>
      <c r="BB421">
        <f t="shared" si="410"/>
        <v>1.56480720344001</v>
      </c>
      <c r="BC421" s="30" t="str">
        <f t="shared" si="411"/>
        <v>-0,00115728991504298+0,025008001935854i</v>
      </c>
      <c r="BD421" s="32">
        <f t="shared" si="412"/>
        <v>-32.0291294653032</v>
      </c>
      <c r="BE421" s="31">
        <f t="shared" si="413"/>
        <v>92.6495741268407</v>
      </c>
      <c r="BF421" s="30" t="str">
        <f t="shared" si="414"/>
        <v>-0,00661288868761241-0,0194437094988171i</v>
      </c>
      <c r="BG421" s="68">
        <f t="shared" si="415"/>
        <v>-33.7490564033629</v>
      </c>
      <c r="BH421" s="31">
        <f t="shared" si="416"/>
        <v>-108.783388390075</v>
      </c>
      <c r="BI421" s="30" t="str">
        <f t="shared" si="369"/>
        <v>0,0190840294198157-0,019510724901586i</v>
      </c>
      <c r="BJ421" s="68">
        <f t="shared" si="417"/>
        <v>-31.2792035342023</v>
      </c>
      <c r="BK421" s="31">
        <f t="shared" si="370"/>
        <v>-45.6334242737071</v>
      </c>
      <c r="BL421" s="32">
        <f t="shared" si="418"/>
        <v>-33.7490564033629</v>
      </c>
      <c r="BM421" s="31">
        <f t="shared" si="419"/>
        <v>-108.783388390075</v>
      </c>
      <c r="BO421">
        <f t="shared" si="420"/>
        <v>0</v>
      </c>
      <c r="BP421">
        <f t="shared" si="421"/>
        <v>0</v>
      </c>
    </row>
    <row r="422" spans="14:68">
      <c r="N422" s="7">
        <v>4</v>
      </c>
      <c r="O422" s="18">
        <f t="shared" si="422"/>
        <v>109647.819614319</v>
      </c>
      <c r="P422" s="86" t="str">
        <f t="shared" si="372"/>
        <v>15</v>
      </c>
      <c r="Q422" s="4" t="str">
        <f t="shared" si="373"/>
        <v>1+200,940124339781i</v>
      </c>
      <c r="R422" s="4">
        <f t="shared" si="384"/>
        <v>200.942612627801</v>
      </c>
      <c r="S422" s="4">
        <f t="shared" si="385"/>
        <v>1.56581976102502</v>
      </c>
      <c r="T422" s="4" t="str">
        <f t="shared" si="374"/>
        <v>1+0,137787513832993i</v>
      </c>
      <c r="U422" s="4">
        <f t="shared" si="386"/>
        <v>1.00944806650381</v>
      </c>
      <c r="V422" s="4">
        <f t="shared" si="387"/>
        <v>0.136925330423981</v>
      </c>
      <c r="W422" t="str">
        <f t="shared" si="375"/>
        <v>1-12,0564074603869i</v>
      </c>
      <c r="X422" s="4">
        <f t="shared" si="388"/>
        <v>12.0978081010931</v>
      </c>
      <c r="Y422" s="4">
        <f t="shared" si="389"/>
        <v>-1.48804230428299</v>
      </c>
      <c r="Z422" t="str">
        <f t="shared" si="376"/>
        <v>0,914505640204983+0,639727742796037i</v>
      </c>
      <c r="AA422" s="4">
        <f t="shared" si="390"/>
        <v>1.11605203770686</v>
      </c>
      <c r="AB422" s="4">
        <f t="shared" si="391"/>
        <v>0.610413110669824</v>
      </c>
      <c r="AC422" s="67" t="str">
        <f t="shared" si="392"/>
        <v>-0,756793393704378+0,307336689147177i</v>
      </c>
      <c r="AD422" s="68">
        <f t="shared" si="393"/>
        <v>-1.75749116881114</v>
      </c>
      <c r="AE422" s="31">
        <f t="shared" si="394"/>
        <v>157.897740983642</v>
      </c>
      <c r="AF422" s="32" t="str">
        <f t="shared" si="395"/>
        <v>75,4669735059805</v>
      </c>
      <c r="AG422" s="32" t="str">
        <f t="shared" si="377"/>
        <v>1+129,175794218431i</v>
      </c>
      <c r="AH422" s="32">
        <f t="shared" si="396"/>
        <v>129.179664854661</v>
      </c>
      <c r="AI422" s="32">
        <f t="shared" si="397"/>
        <v>1.56305509299484</v>
      </c>
      <c r="AJ422" s="32" t="str">
        <f t="shared" si="378"/>
        <v>1+0,137787513832993i</v>
      </c>
      <c r="AK422" s="32">
        <f t="shared" si="398"/>
        <v>1.00944806650381</v>
      </c>
      <c r="AL422" s="32">
        <f t="shared" si="399"/>
        <v>0.136925330423981</v>
      </c>
      <c r="AM422" s="32" t="str">
        <f t="shared" si="379"/>
        <v>1-1,54051123690632i</v>
      </c>
      <c r="AN422" s="32">
        <f t="shared" si="400"/>
        <v>1.83662050272631</v>
      </c>
      <c r="AO422" s="32">
        <f t="shared" si="401"/>
        <v>-0.995029322131747</v>
      </c>
      <c r="AP422" s="30" t="str">
        <f t="shared" si="402"/>
        <v>-0,813966626317742-0,714528623493827i</v>
      </c>
      <c r="AQ422" s="32">
        <f t="shared" si="403"/>
        <v>0.693323776115227</v>
      </c>
      <c r="AR422" s="31">
        <f t="shared" si="404"/>
        <v>-138.722197083217</v>
      </c>
      <c r="AS422" t="str">
        <f t="shared" si="380"/>
        <v>-0,000338461538461538</v>
      </c>
      <c r="AT422" t="str">
        <f t="shared" si="381"/>
        <v>0,120601277232604i</v>
      </c>
      <c r="AU422">
        <f t="shared" si="405"/>
        <v>0.120601277232604</v>
      </c>
      <c r="AV422">
        <f t="shared" si="406"/>
        <v>1.5707963267949</v>
      </c>
      <c r="AW422" t="str">
        <f t="shared" si="382"/>
        <v>1+19,5731408307407i</v>
      </c>
      <c r="AX422">
        <f t="shared" si="407"/>
        <v>19.5986693930993</v>
      </c>
      <c r="AY422">
        <f t="shared" si="408"/>
        <v>1.51975028917959</v>
      </c>
      <c r="AZ422" t="str">
        <f t="shared" si="383"/>
        <v>1+170,856517152911i</v>
      </c>
      <c r="BA422">
        <f t="shared" si="409"/>
        <v>170.859443559971</v>
      </c>
      <c r="BB422">
        <f t="shared" si="410"/>
        <v>1.56494352938204</v>
      </c>
      <c r="BC422" s="30" t="str">
        <f t="shared" si="411"/>
        <v>-0,00110533889291654+0,024441404513029i</v>
      </c>
      <c r="BD422" s="32">
        <f t="shared" si="412"/>
        <v>-32.2286036466048</v>
      </c>
      <c r="BE422" s="31">
        <f t="shared" si="413"/>
        <v>92.5893819261219</v>
      </c>
      <c r="BF422" s="30" t="str">
        <f t="shared" si="414"/>
        <v>-0,00667522716917745-0,0188368046640513i</v>
      </c>
      <c r="BG422" s="68">
        <f t="shared" si="415"/>
        <v>-33.9860948154159</v>
      </c>
      <c r="BH422" s="31">
        <f t="shared" si="416"/>
        <v>-109.512877090236</v>
      </c>
      <c r="BI422" s="30" t="str">
        <f t="shared" si="369"/>
        <v>0,0183637920925555-0,0191046912962876i</v>
      </c>
      <c r="BJ422" s="68">
        <f t="shared" si="417"/>
        <v>-31.5352798704896</v>
      </c>
      <c r="BK422" s="31">
        <f t="shared" si="370"/>
        <v>-46.1328151570946</v>
      </c>
      <c r="BL422" s="32">
        <f t="shared" si="418"/>
        <v>-33.9860948154159</v>
      </c>
      <c r="BM422" s="31">
        <f t="shared" si="419"/>
        <v>-109.512877090236</v>
      </c>
      <c r="BO422">
        <f t="shared" si="420"/>
        <v>0</v>
      </c>
      <c r="BP422">
        <f t="shared" si="421"/>
        <v>0</v>
      </c>
    </row>
    <row r="423" spans="14:68">
      <c r="N423" s="7">
        <v>5</v>
      </c>
      <c r="O423" s="18">
        <f t="shared" si="422"/>
        <v>112201.845430197</v>
      </c>
      <c r="P423" s="86" t="str">
        <f t="shared" si="372"/>
        <v>15</v>
      </c>
      <c r="Q423" s="4" t="str">
        <f t="shared" si="373"/>
        <v>1+205,620621104922i</v>
      </c>
      <c r="R423" s="4">
        <f t="shared" si="384"/>
        <v>205.62305275327</v>
      </c>
      <c r="S423" s="4">
        <f t="shared" si="385"/>
        <v>1.56593303968507</v>
      </c>
      <c r="T423" s="4" t="str">
        <f t="shared" si="374"/>
        <v>1+0,140996997329089i</v>
      </c>
      <c r="U423" s="4">
        <f t="shared" si="386"/>
        <v>1.0098911591136</v>
      </c>
      <c r="V423" s="4">
        <f t="shared" si="387"/>
        <v>0.140073639152471</v>
      </c>
      <c r="W423" t="str">
        <f t="shared" si="375"/>
        <v>1-12,3372372662953i</v>
      </c>
      <c r="X423" s="4">
        <f t="shared" si="388"/>
        <v>12.3776986295864</v>
      </c>
      <c r="Y423" s="4">
        <f t="shared" si="389"/>
        <v>-1.48991771700917</v>
      </c>
      <c r="Z423" t="str">
        <f t="shared" si="376"/>
        <v>0,910476415161303+0,654628916170769i</v>
      </c>
      <c r="AA423" s="4">
        <f t="shared" si="390"/>
        <v>1.12138589274696</v>
      </c>
      <c r="AB423" s="4">
        <f t="shared" si="391"/>
        <v>0.623361527066376</v>
      </c>
      <c r="AC423" s="67" t="str">
        <f t="shared" si="392"/>
        <v>-0,749749682286154+0,314822544153334i</v>
      </c>
      <c r="AD423" s="68">
        <f t="shared" si="393"/>
        <v>-1.79642314327342</v>
      </c>
      <c r="AE423" s="31">
        <f t="shared" si="394"/>
        <v>157.222292552303</v>
      </c>
      <c r="AF423" s="32" t="str">
        <f t="shared" si="395"/>
        <v>75,4669735059805</v>
      </c>
      <c r="AG423" s="32" t="str">
        <f t="shared" si="377"/>
        <v>1+132,184684996021i</v>
      </c>
      <c r="AH423" s="32">
        <f t="shared" si="396"/>
        <v>132.188467528364</v>
      </c>
      <c r="AI423" s="32">
        <f t="shared" si="397"/>
        <v>1.56323129818811</v>
      </c>
      <c r="AJ423" s="32" t="str">
        <f t="shared" si="378"/>
        <v>1+0,140996997329089i</v>
      </c>
      <c r="AK423" s="32">
        <f t="shared" si="398"/>
        <v>1.0098911591136</v>
      </c>
      <c r="AL423" s="32">
        <f t="shared" si="399"/>
        <v>0.140073639152471</v>
      </c>
      <c r="AM423" s="32" t="str">
        <f t="shared" si="379"/>
        <v>1-1,576394353256i</v>
      </c>
      <c r="AN423" s="32">
        <f t="shared" si="400"/>
        <v>1.86682060117661</v>
      </c>
      <c r="AO423" s="32">
        <f t="shared" si="401"/>
        <v>-1.00549520979013</v>
      </c>
      <c r="AP423" s="30" t="str">
        <f t="shared" si="402"/>
        <v>-0,814172363582388-0,703976817687142i</v>
      </c>
      <c r="AQ423" s="32">
        <f t="shared" si="403"/>
        <v>0.638810418537854</v>
      </c>
      <c r="AR423" s="31">
        <f t="shared" si="404"/>
        <v>-139.151559286056</v>
      </c>
      <c r="AS423" t="str">
        <f t="shared" si="380"/>
        <v>-0,000338461538461538</v>
      </c>
      <c r="AT423" t="str">
        <f t="shared" si="381"/>
        <v>0,123410441852232i</v>
      </c>
      <c r="AU423">
        <f t="shared" si="405"/>
        <v>0.123410441852232</v>
      </c>
      <c r="AV423">
        <f t="shared" si="406"/>
        <v>1.5707963267949</v>
      </c>
      <c r="AW423" t="str">
        <f t="shared" si="382"/>
        <v>1+20,0290578490212i</v>
      </c>
      <c r="AX423">
        <f t="shared" si="407"/>
        <v>20.0540060416725</v>
      </c>
      <c r="AY423">
        <f t="shared" si="408"/>
        <v>1.52091028966963</v>
      </c>
      <c r="AZ423" t="str">
        <f t="shared" si="383"/>
        <v>1+174,836276688071i</v>
      </c>
      <c r="BA423">
        <f t="shared" si="409"/>
        <v>174.839136483076</v>
      </c>
      <c r="BB423">
        <f t="shared" si="410"/>
        <v>1.565076752377</v>
      </c>
      <c r="BC423" s="30" t="str">
        <f t="shared" si="411"/>
        <v>-0,00105571414992099+0,0238875278599786i</v>
      </c>
      <c r="BD423" s="32">
        <f t="shared" si="412"/>
        <v>-32.4281014326244</v>
      </c>
      <c r="BE423" s="31">
        <f t="shared" si="413"/>
        <v>92.5305519091542</v>
      </c>
      <c r="BF423" s="30" t="str">
        <f t="shared" si="414"/>
        <v>-0,00672881094592385-0,0182420290381974i</v>
      </c>
      <c r="BG423" s="68">
        <f t="shared" si="415"/>
        <v>-34.2245245758978</v>
      </c>
      <c r="BH423" s="31">
        <f t="shared" si="416"/>
        <v>-110.247155538543</v>
      </c>
      <c r="BI423" s="30" t="str">
        <f t="shared" si="369"/>
        <v>0,0176757991299892-0,0187053667302503i</v>
      </c>
      <c r="BJ423" s="68">
        <f t="shared" si="417"/>
        <v>-31.7892910140866</v>
      </c>
      <c r="BK423" s="31">
        <f t="shared" si="370"/>
        <v>-46.6210073769018</v>
      </c>
      <c r="BL423" s="32">
        <f t="shared" si="418"/>
        <v>-34.2245245758978</v>
      </c>
      <c r="BM423" s="31">
        <f t="shared" si="419"/>
        <v>-110.247155538543</v>
      </c>
      <c r="BO423">
        <f t="shared" si="420"/>
        <v>0</v>
      </c>
      <c r="BP423">
        <f t="shared" si="421"/>
        <v>0</v>
      </c>
    </row>
    <row r="424" spans="14:68">
      <c r="N424" s="7">
        <v>6</v>
      </c>
      <c r="O424" s="18">
        <f t="shared" si="422"/>
        <v>114815.362149688</v>
      </c>
      <c r="P424" s="86" t="str">
        <f t="shared" si="372"/>
        <v>15</v>
      </c>
      <c r="Q424" s="4" t="str">
        <f t="shared" si="373"/>
        <v>1+210,410140645082i</v>
      </c>
      <c r="R424" s="4">
        <f t="shared" si="384"/>
        <v>210.412516942988</v>
      </c>
      <c r="S424" s="4">
        <f t="shared" si="385"/>
        <v>1.56604373992862</v>
      </c>
      <c r="T424" s="4" t="str">
        <f t="shared" si="374"/>
        <v>1+0,144281239299485i</v>
      </c>
      <c r="U424" s="4">
        <f t="shared" si="386"/>
        <v>1.01035492576312</v>
      </c>
      <c r="V424" s="4">
        <f t="shared" si="387"/>
        <v>0.143292390019015</v>
      </c>
      <c r="W424" t="str">
        <f t="shared" si="375"/>
        <v>1-12,6246084387049i</v>
      </c>
      <c r="X424" s="4">
        <f t="shared" si="388"/>
        <v>12.6641516980262</v>
      </c>
      <c r="Y424" s="4">
        <f t="shared" si="389"/>
        <v>-1.49175099124316</v>
      </c>
      <c r="Z424" t="str">
        <f t="shared" si="376"/>
        <v>0,906257298591544+0,669877182461892i</v>
      </c>
      <c r="AA424" s="4">
        <f t="shared" si="390"/>
        <v>1.1269595071845</v>
      </c>
      <c r="AB424" s="4">
        <f t="shared" si="391"/>
        <v>0.636533070739341</v>
      </c>
      <c r="AC424" s="67" t="str">
        <f t="shared" si="392"/>
        <v>-0,742494260413681+0,322219386193882i</v>
      </c>
      <c r="AD424" s="68">
        <f t="shared" si="393"/>
        <v>-1.83677113627313</v>
      </c>
      <c r="AE424" s="31">
        <f t="shared" si="394"/>
        <v>156.540657997082</v>
      </c>
      <c r="AF424" s="32" t="str">
        <f t="shared" si="395"/>
        <v>75,4669735059805</v>
      </c>
      <c r="AG424" s="32" t="str">
        <f t="shared" si="377"/>
        <v>1+135,263661843267i</v>
      </c>
      <c r="AH424" s="32">
        <f t="shared" si="396"/>
        <v>135.267358277042</v>
      </c>
      <c r="AI424" s="32">
        <f t="shared" si="397"/>
        <v>1.56340349291543</v>
      </c>
      <c r="AJ424" s="32" t="str">
        <f t="shared" si="378"/>
        <v>1+0,144281239299485i</v>
      </c>
      <c r="AK424" s="32">
        <f t="shared" si="398"/>
        <v>1.01035492576312</v>
      </c>
      <c r="AL424" s="32">
        <f t="shared" si="399"/>
        <v>0.143292390019015</v>
      </c>
      <c r="AM424" s="32" t="str">
        <f t="shared" si="379"/>
        <v>1-1,61311329475781i</v>
      </c>
      <c r="AN424" s="32">
        <f t="shared" si="400"/>
        <v>1.89792900334138</v>
      </c>
      <c r="AO424" s="32">
        <f t="shared" si="401"/>
        <v>-1.01585892285172</v>
      </c>
      <c r="AP424" s="30" t="str">
        <f t="shared" si="402"/>
        <v>-0,81436884218077-0,69379812957545i</v>
      </c>
      <c r="AQ424" s="32">
        <f t="shared" si="403"/>
        <v>0.586357015160168</v>
      </c>
      <c r="AR424" s="31">
        <f t="shared" si="404"/>
        <v>-139.570801495743</v>
      </c>
      <c r="AS424" t="str">
        <f t="shared" si="380"/>
        <v>-0,000338461538461538</v>
      </c>
      <c r="AT424" t="str">
        <f t="shared" si="381"/>
        <v>0,12628504032166i</v>
      </c>
      <c r="AU424">
        <f t="shared" si="405"/>
        <v>0.12628504032166</v>
      </c>
      <c r="AV424">
        <f t="shared" si="406"/>
        <v>1.5707963267949</v>
      </c>
      <c r="AW424" t="str">
        <f t="shared" si="382"/>
        <v>1+20,4955945388892i</v>
      </c>
      <c r="AX424">
        <f t="shared" si="407"/>
        <v>20.5199755239266</v>
      </c>
      <c r="AY424">
        <f t="shared" si="408"/>
        <v>1.52204401517446</v>
      </c>
      <c r="AZ424" t="str">
        <f t="shared" si="383"/>
        <v>1+178,908736731361i</v>
      </c>
      <c r="BA424">
        <f t="shared" si="409"/>
        <v>178.911531430513</v>
      </c>
      <c r="BB424">
        <f t="shared" si="410"/>
        <v>1.56520694304254</v>
      </c>
      <c r="BC424" s="30" t="str">
        <f t="shared" si="411"/>
        <v>-0,00100831202967867+0,0233460941369593i</v>
      </c>
      <c r="BD424" s="32">
        <f t="shared" si="412"/>
        <v>-32.6276217663312</v>
      </c>
      <c r="BE424" s="31">
        <f t="shared" si="413"/>
        <v>92.4730535982686</v>
      </c>
      <c r="BF424" s="30" t="str">
        <f t="shared" si="414"/>
        <v>-0,00677389822809313-0,0176592385830647i</v>
      </c>
      <c r="BG424" s="68">
        <f t="shared" si="415"/>
        <v>-34.4643929026043</v>
      </c>
      <c r="BH424" s="31">
        <f t="shared" si="416"/>
        <v>-110.986288404649</v>
      </c>
      <c r="BI424" s="30" t="str">
        <f t="shared" si="369"/>
        <v>0,0170186143452811-0,0183127666515393i</v>
      </c>
      <c r="BJ424" s="68">
        <f t="shared" si="417"/>
        <v>-32.041264751171</v>
      </c>
      <c r="BK424" s="31">
        <f t="shared" si="370"/>
        <v>-47.0977478974739</v>
      </c>
      <c r="BL424" s="32">
        <f t="shared" si="418"/>
        <v>-34.4643929026043</v>
      </c>
      <c r="BM424" s="31">
        <f t="shared" si="419"/>
        <v>-110.986288404649</v>
      </c>
      <c r="BO424">
        <f t="shared" si="420"/>
        <v>0</v>
      </c>
      <c r="BP424">
        <f t="shared" si="421"/>
        <v>0</v>
      </c>
    </row>
    <row r="425" spans="14:68">
      <c r="N425" s="7">
        <v>7</v>
      </c>
      <c r="O425" s="18">
        <f t="shared" si="422"/>
        <v>117489.755493953</v>
      </c>
      <c r="P425" s="86" t="str">
        <f t="shared" si="372"/>
        <v>15</v>
      </c>
      <c r="Q425" s="4" t="str">
        <f t="shared" si="373"/>
        <v>1+215,311222426921i</v>
      </c>
      <c r="R425" s="4">
        <f t="shared" si="384"/>
        <v>215.313544634273</v>
      </c>
      <c r="S425" s="4">
        <f t="shared" si="385"/>
        <v>1.56615192043954</v>
      </c>
      <c r="T425" s="4" t="str">
        <f t="shared" si="374"/>
        <v>1+0,147641981092746i</v>
      </c>
      <c r="U425" s="4">
        <f t="shared" si="386"/>
        <v>1.01084032101069</v>
      </c>
      <c r="V425" s="4">
        <f t="shared" si="387"/>
        <v>0.146583022729227</v>
      </c>
      <c r="W425" t="str">
        <f t="shared" si="375"/>
        <v>1-12,9186733456153i</v>
      </c>
      <c r="X425" s="4">
        <f t="shared" si="388"/>
        <v>12.957319206175</v>
      </c>
      <c r="Y425" s="4">
        <f t="shared" si="389"/>
        <v>-1.49354304969222</v>
      </c>
      <c r="Z425" t="str">
        <f t="shared" si="376"/>
        <v>0,901839341183794+0,685480626502031i</v>
      </c>
      <c r="AA425" s="4">
        <f t="shared" si="390"/>
        <v>1.13278324785302</v>
      </c>
      <c r="AB425" s="4">
        <f t="shared" si="391"/>
        <v>0.649928593166365</v>
      </c>
      <c r="AC425" s="67" t="str">
        <f t="shared" si="392"/>
        <v>-0,735025714018842+0,329519602698546i</v>
      </c>
      <c r="AD425" s="68">
        <f t="shared" si="393"/>
        <v>-1.8785838921821</v>
      </c>
      <c r="AE425" s="31">
        <f t="shared" si="394"/>
        <v>155.852814791391</v>
      </c>
      <c r="AF425" s="32" t="str">
        <f t="shared" si="395"/>
        <v>75,4669735059805</v>
      </c>
      <c r="AG425" s="32" t="str">
        <f t="shared" si="377"/>
        <v>1+138,414357274449i</v>
      </c>
      <c r="AH425" s="32">
        <f t="shared" si="396"/>
        <v>138.41796956934</v>
      </c>
      <c r="AI425" s="32">
        <f t="shared" si="397"/>
        <v>1.56357176843586</v>
      </c>
      <c r="AJ425" s="32" t="str">
        <f t="shared" si="378"/>
        <v>1+0,147641981092746i</v>
      </c>
      <c r="AK425" s="32">
        <f t="shared" si="398"/>
        <v>1.01084032101069</v>
      </c>
      <c r="AL425" s="32">
        <f t="shared" si="399"/>
        <v>0.146583022729227</v>
      </c>
      <c r="AM425" s="32" t="str">
        <f t="shared" si="379"/>
        <v>1-1,65068753028059i</v>
      </c>
      <c r="AN425" s="32">
        <f t="shared" si="400"/>
        <v>1.92996614546054</v>
      </c>
      <c r="AO425" s="32">
        <f t="shared" si="401"/>
        <v>-1.02611705091704</v>
      </c>
      <c r="AP425" s="30" t="str">
        <f t="shared" si="402"/>
        <v>-0,814556478730389-0,683987171635775i</v>
      </c>
      <c r="AQ425" s="32">
        <f t="shared" si="403"/>
        <v>0.535934142298666</v>
      </c>
      <c r="AR425" s="31">
        <f t="shared" si="404"/>
        <v>-139.979651050483</v>
      </c>
      <c r="AS425" t="str">
        <f t="shared" si="380"/>
        <v>-0,000338461538461538</v>
      </c>
      <c r="AT425" t="str">
        <f t="shared" si="381"/>
        <v>0,129226596791047i</v>
      </c>
      <c r="AU425">
        <f t="shared" si="405"/>
        <v>0.129226596791047</v>
      </c>
      <c r="AV425">
        <f t="shared" si="406"/>
        <v>1.5707963267949</v>
      </c>
      <c r="AW425" t="str">
        <f t="shared" si="382"/>
        <v>1+20,9729982642731i</v>
      </c>
      <c r="AX425">
        <f t="shared" si="407"/>
        <v>20.9968249074283</v>
      </c>
      <c r="AY425">
        <f t="shared" si="408"/>
        <v>1.52315205514599</v>
      </c>
      <c r="AZ425" t="str">
        <f t="shared" si="383"/>
        <v>1+183,076056555004i</v>
      </c>
      <c r="BA425">
        <f t="shared" si="409"/>
        <v>183.078787639997</v>
      </c>
      <c r="BB425">
        <f t="shared" si="410"/>
        <v>1.56533417038981</v>
      </c>
      <c r="BC425" s="30" t="str">
        <f t="shared" si="411"/>
        <v>-0,000963033449798216+0,0228168310533317i</v>
      </c>
      <c r="BD425" s="32">
        <f t="shared" si="412"/>
        <v>-32.8271636377984</v>
      </c>
      <c r="BE425" s="31">
        <f t="shared" si="413"/>
        <v>92.4168571744055</v>
      </c>
      <c r="BF425" s="30" t="str">
        <f t="shared" si="414"/>
        <v>-0,00681073875447175-0,0170882959363853i</v>
      </c>
      <c r="BG425" s="68">
        <f t="shared" si="415"/>
        <v>-34.7057475299805</v>
      </c>
      <c r="BH425" s="31">
        <f t="shared" si="416"/>
        <v>-111.730328034204</v>
      </c>
      <c r="BI425" s="30" t="str">
        <f t="shared" si="369"/>
        <v>0,0163908648736269-0,0179268950330699i</v>
      </c>
      <c r="BJ425" s="68">
        <f t="shared" si="417"/>
        <v>-32.2912294954997</v>
      </c>
      <c r="BK425" s="31">
        <f t="shared" si="370"/>
        <v>-47.5627938760773</v>
      </c>
      <c r="BL425" s="32">
        <f t="shared" si="418"/>
        <v>-34.7057475299805</v>
      </c>
      <c r="BM425" s="31">
        <f t="shared" si="419"/>
        <v>-111.730328034204</v>
      </c>
      <c r="BO425">
        <f t="shared" si="420"/>
        <v>0</v>
      </c>
      <c r="BP425">
        <f t="shared" si="421"/>
        <v>0</v>
      </c>
    </row>
    <row r="426" spans="14:68">
      <c r="N426" s="7">
        <v>8</v>
      </c>
      <c r="O426" s="18">
        <f t="shared" si="422"/>
        <v>120226.443461741</v>
      </c>
      <c r="P426" s="86" t="str">
        <f t="shared" si="372"/>
        <v>15</v>
      </c>
      <c r="Q426" s="4" t="str">
        <f t="shared" si="373"/>
        <v>1+220,326465068871i</v>
      </c>
      <c r="R426" s="4">
        <f t="shared" si="384"/>
        <v>220.328734416881</v>
      </c>
      <c r="S426" s="4">
        <f t="shared" si="385"/>
        <v>1.56625763856643</v>
      </c>
      <c r="T426" s="4" t="str">
        <f t="shared" si="374"/>
        <v>1+0,151081004618654i</v>
      </c>
      <c r="U426" s="4">
        <f t="shared" si="386"/>
        <v>1.0113483425391</v>
      </c>
      <c r="V426" s="4">
        <f t="shared" si="387"/>
        <v>0.149946996817098</v>
      </c>
      <c r="W426" t="str">
        <f t="shared" si="375"/>
        <v>1-13,2195879041323i</v>
      </c>
      <c r="X426" s="4">
        <f t="shared" si="388"/>
        <v>13.257356612654</v>
      </c>
      <c r="Y426" s="4">
        <f t="shared" si="389"/>
        <v>-1.49529479646255</v>
      </c>
      <c r="Z426" t="str">
        <f t="shared" si="376"/>
        <v>0,897213171858067+0,70144752144375i</v>
      </c>
      <c r="AA426" s="4">
        <f t="shared" si="390"/>
        <v>1.1388679032685</v>
      </c>
      <c r="AB426" s="4">
        <f t="shared" si="391"/>
        <v>0.663548774828474</v>
      </c>
      <c r="AC426" s="67" t="str">
        <f t="shared" si="392"/>
        <v>-0,727343017397214+0,336715280512992i</v>
      </c>
      <c r="AD426" s="68">
        <f t="shared" si="393"/>
        <v>-1.92191057011713</v>
      </c>
      <c r="AE426" s="31">
        <f t="shared" si="394"/>
        <v>155.158752484372</v>
      </c>
      <c r="AF426" s="32" t="str">
        <f t="shared" si="395"/>
        <v>75,4669735059805</v>
      </c>
      <c r="AG426" s="32" t="str">
        <f t="shared" si="377"/>
        <v>1+141,638441829988i</v>
      </c>
      <c r="AH426" s="32">
        <f t="shared" si="396"/>
        <v>141.641971901082</v>
      </c>
      <c r="AI426" s="32">
        <f t="shared" si="397"/>
        <v>1.56373621393316</v>
      </c>
      <c r="AJ426" s="32" t="str">
        <f t="shared" si="378"/>
        <v>1+0,151081004618654i</v>
      </c>
      <c r="AK426" s="32">
        <f t="shared" si="398"/>
        <v>1.0113483425391</v>
      </c>
      <c r="AL426" s="32">
        <f t="shared" si="399"/>
        <v>0.149946996817098</v>
      </c>
      <c r="AM426" s="32" t="str">
        <f t="shared" si="379"/>
        <v>1-1,68913698218135i</v>
      </c>
      <c r="AN426" s="32">
        <f t="shared" si="400"/>
        <v>1.96295281261999</v>
      </c>
      <c r="AO426" s="32">
        <f t="shared" si="401"/>
        <v>-1.03626639692908</v>
      </c>
      <c r="AP426" s="30" t="str">
        <f t="shared" si="402"/>
        <v>-0,814735671105853-0,674538750696446i</v>
      </c>
      <c r="AQ426" s="32">
        <f t="shared" si="403"/>
        <v>0.487511922204431</v>
      </c>
      <c r="AR426" s="31">
        <f t="shared" si="404"/>
        <v>-140.37784625712</v>
      </c>
      <c r="AS426" t="str">
        <f t="shared" si="380"/>
        <v>-0,000338461538461538</v>
      </c>
      <c r="AT426" t="str">
        <f t="shared" si="381"/>
        <v>0,132236670912569i</v>
      </c>
      <c r="AU426">
        <f t="shared" si="405"/>
        <v>0.132236670912569</v>
      </c>
      <c r="AV426">
        <f t="shared" si="406"/>
        <v>1.5707963267949</v>
      </c>
      <c r="AW426" t="str">
        <f t="shared" si="382"/>
        <v>1+21,461522150947i</v>
      </c>
      <c r="AX426">
        <f t="shared" si="407"/>
        <v>21.4848070281208</v>
      </c>
      <c r="AY426">
        <f t="shared" si="408"/>
        <v>1.52423498619231</v>
      </c>
      <c r="AZ426" t="str">
        <f t="shared" si="383"/>
        <v>1+187,340445727131i</v>
      </c>
      <c r="BA426">
        <f t="shared" si="409"/>
        <v>187.343114645935</v>
      </c>
      <c r="BB426">
        <f t="shared" si="410"/>
        <v>1.56545850185996</v>
      </c>
      <c r="BC426" s="30" t="str">
        <f t="shared" si="411"/>
        <v>-0,00091978370398317+0,022299471792239i</v>
      </c>
      <c r="BD426" s="32">
        <f t="shared" si="412"/>
        <v>-33.0267260821252</v>
      </c>
      <c r="BE426" s="31">
        <f t="shared" si="413"/>
        <v>92.3619334644478</v>
      </c>
      <c r="BF426" s="30" t="str">
        <f t="shared" si="414"/>
        <v>-0,0068395746452074-0,0165290703276291i</v>
      </c>
      <c r="BG426" s="68">
        <f t="shared" si="415"/>
        <v>-34.9486366522424</v>
      </c>
      <c r="BH426" s="31">
        <f t="shared" si="416"/>
        <v>-112.47931405118</v>
      </c>
      <c r="BI426" s="30" t="str">
        <f t="shared" si="369"/>
        <v>0,0157912384372645-0,0175477453653601i</v>
      </c>
      <c r="BJ426" s="68">
        <f t="shared" si="417"/>
        <v>-32.5392141599208</v>
      </c>
      <c r="BK426" s="31">
        <f t="shared" si="370"/>
        <v>-48.015912792672</v>
      </c>
      <c r="BL426" s="32">
        <f t="shared" si="418"/>
        <v>-34.9486366522424</v>
      </c>
      <c r="BM426" s="31">
        <f t="shared" si="419"/>
        <v>-112.47931405118</v>
      </c>
      <c r="BO426">
        <f t="shared" si="420"/>
        <v>0</v>
      </c>
      <c r="BP426">
        <f t="shared" si="421"/>
        <v>0</v>
      </c>
    </row>
    <row r="427" spans="14:68">
      <c r="N427" s="7">
        <v>9</v>
      </c>
      <c r="O427" s="18">
        <f t="shared" si="422"/>
        <v>123026.877081238</v>
      </c>
      <c r="P427" s="86" t="str">
        <f t="shared" si="372"/>
        <v>15</v>
      </c>
      <c r="Q427" s="4" t="str">
        <f t="shared" si="373"/>
        <v>1+225,458527718966i</v>
      </c>
      <c r="R427" s="4">
        <f t="shared" si="384"/>
        <v>225.460745410823</v>
      </c>
      <c r="S427" s="4">
        <f t="shared" si="385"/>
        <v>1.566360950353</v>
      </c>
      <c r="T427" s="4" t="str">
        <f t="shared" si="374"/>
        <v>1+0,154600133293005i</v>
      </c>
      <c r="U427" s="4">
        <f t="shared" si="386"/>
        <v>1.01188003301489</v>
      </c>
      <c r="V427" s="4">
        <f t="shared" si="387"/>
        <v>0.153385791206002</v>
      </c>
      <c r="W427" t="str">
        <f t="shared" si="375"/>
        <v>1-13,5275116631379i</v>
      </c>
      <c r="X427" s="4">
        <f t="shared" si="388"/>
        <v>13.5644230174502</v>
      </c>
      <c r="Y427" s="4">
        <f t="shared" si="389"/>
        <v>-1.49700711732591</v>
      </c>
      <c r="Z427" t="str">
        <f t="shared" si="376"/>
        <v>0,89236897788898+0,717786333146093i</v>
      </c>
      <c r="AA427" s="4">
        <f t="shared" si="390"/>
        <v>1.14522469967685</v>
      </c>
      <c r="AB427" s="4">
        <f t="shared" si="391"/>
        <v>0.677394117522245</v>
      </c>
      <c r="AC427" s="67" t="str">
        <f t="shared" si="392"/>
        <v>-0,719445561232579+0,343798222540752i</v>
      </c>
      <c r="AD427" s="68">
        <f t="shared" si="393"/>
        <v>-1.96680068368552</v>
      </c>
      <c r="AE427" s="31">
        <f t="shared" si="394"/>
        <v>154.458473099218</v>
      </c>
      <c r="AF427" s="32" t="str">
        <f t="shared" si="395"/>
        <v>75,4669735059805</v>
      </c>
      <c r="AG427" s="32" t="str">
        <f t="shared" si="377"/>
        <v>1+144,937624962192i</v>
      </c>
      <c r="AH427" s="32">
        <f t="shared" si="396"/>
        <v>144.941074680992</v>
      </c>
      <c r="AI427" s="32">
        <f t="shared" si="397"/>
        <v>1.56389691656292</v>
      </c>
      <c r="AJ427" s="32" t="str">
        <f t="shared" si="378"/>
        <v>1+0,154600133293005i</v>
      </c>
      <c r="AK427" s="32">
        <f t="shared" si="398"/>
        <v>1.01188003301489</v>
      </c>
      <c r="AL427" s="32">
        <f t="shared" si="399"/>
        <v>0.153385791206002</v>
      </c>
      <c r="AM427" s="32" t="str">
        <f t="shared" si="379"/>
        <v>1-1,72848203686844i</v>
      </c>
      <c r="AN427" s="32">
        <f t="shared" si="400"/>
        <v>1.99691015115274</v>
      </c>
      <c r="AO427" s="32">
        <f t="shared" si="401"/>
        <v>-1.04630397789955</v>
      </c>
      <c r="AP427" s="30" t="str">
        <f t="shared" si="402"/>
        <v>-0,814906799281793-0,665447865225237i</v>
      </c>
      <c r="AQ427" s="32">
        <f t="shared" si="403"/>
        <v>0.44106014827372</v>
      </c>
      <c r="AR427" s="31">
        <f t="shared" si="404"/>
        <v>-140.765136460593</v>
      </c>
      <c r="AS427" t="str">
        <f t="shared" si="380"/>
        <v>-0,000338461538461538</v>
      </c>
      <c r="AT427" t="str">
        <f t="shared" si="381"/>
        <v>0,135316858667369i</v>
      </c>
      <c r="AU427">
        <f t="shared" si="405"/>
        <v>0.135316858667369</v>
      </c>
      <c r="AV427">
        <f t="shared" si="406"/>
        <v>1.5707963267949</v>
      </c>
      <c r="AW427" t="str">
        <f t="shared" si="382"/>
        <v>1+21,9614252207423i</v>
      </c>
      <c r="AX427">
        <f t="shared" si="407"/>
        <v>21.9841806244003</v>
      </c>
      <c r="AY427">
        <f t="shared" si="408"/>
        <v>1.52529337233206</v>
      </c>
      <c r="AZ427" t="str">
        <f t="shared" si="383"/>
        <v>1+191,704165283326i</v>
      </c>
      <c r="BA427">
        <f t="shared" si="409"/>
        <v>191.706773450958</v>
      </c>
      <c r="BB427">
        <f t="shared" si="410"/>
        <v>1.5655800033598</v>
      </c>
      <c r="BC427" s="30" t="str">
        <f t="shared" si="411"/>
        <v>-0,000878472272353858+0,0217937549336793i</v>
      </c>
      <c r="BD427" s="32">
        <f t="shared" si="412"/>
        <v>-33.2263081774477</v>
      </c>
      <c r="BE427" s="31">
        <f t="shared" si="413"/>
        <v>92.3082539286904</v>
      </c>
      <c r="BF427" s="30" t="str">
        <f t="shared" si="414"/>
        <v>-0,00686064123167681-0,0159814374554128i</v>
      </c>
      <c r="BG427" s="68">
        <f t="shared" si="415"/>
        <v>-35.1931088611333</v>
      </c>
      <c r="BH427" s="31">
        <f t="shared" si="416"/>
        <v>-113.233272972092</v>
      </c>
      <c r="BI427" s="30" t="str">
        <f t="shared" si="369"/>
        <v>0,0152184807235806-0,0171753015790389i</v>
      </c>
      <c r="BJ427" s="68">
        <f t="shared" si="417"/>
        <v>-32.785248029174</v>
      </c>
      <c r="BK427" s="31">
        <f t="shared" si="370"/>
        <v>-48.4568825319025</v>
      </c>
      <c r="BL427" s="32">
        <f t="shared" si="418"/>
        <v>-35.1931088611333</v>
      </c>
      <c r="BM427" s="31">
        <f t="shared" si="419"/>
        <v>-113.233272972092</v>
      </c>
      <c r="BO427">
        <f t="shared" si="420"/>
        <v>0</v>
      </c>
      <c r="BP427">
        <f t="shared" si="421"/>
        <v>0</v>
      </c>
    </row>
    <row r="428" spans="14:68">
      <c r="N428" s="7">
        <v>10</v>
      </c>
      <c r="O428" s="18">
        <f t="shared" si="422"/>
        <v>125892.541179417</v>
      </c>
      <c r="P428" s="86" t="str">
        <f t="shared" si="372"/>
        <v>15</v>
      </c>
      <c r="Q428" s="4" t="str">
        <f t="shared" si="373"/>
        <v>1+230,710131464754i</v>
      </c>
      <c r="R428" s="4">
        <f t="shared" si="384"/>
        <v>230.712298676261</v>
      </c>
      <c r="S428" s="4">
        <f t="shared" si="385"/>
        <v>1.56646191056768</v>
      </c>
      <c r="T428" s="4" t="str">
        <f t="shared" si="374"/>
        <v>1+0,158201233004403i</v>
      </c>
      <c r="U428" s="4">
        <f t="shared" si="386"/>
        <v>1.01243648201955</v>
      </c>
      <c r="V428" s="4">
        <f t="shared" si="387"/>
        <v>0.156900903704206</v>
      </c>
      <c r="W428" t="str">
        <f t="shared" si="375"/>
        <v>1-13,8426078878852i</v>
      </c>
      <c r="X428" s="4">
        <f t="shared" si="388"/>
        <v>13.8786812463484</v>
      </c>
      <c r="Y428" s="4">
        <f t="shared" si="389"/>
        <v>-1.49868087999023</v>
      </c>
      <c r="Z428" t="str">
        <f t="shared" si="376"/>
        <v>0,887296484091653+0,734505724663296i</v>
      </c>
      <c r="AA428" s="4">
        <f t="shared" si="390"/>
        <v>1.15186531775402</v>
      </c>
      <c r="AB428" s="4">
        <f t="shared" si="391"/>
        <v>0.691464936861543</v>
      </c>
      <c r="AC428" s="67" t="str">
        <f t="shared" si="392"/>
        <v>-0,711333180320078+0,350759966989456i</v>
      </c>
      <c r="AD428" s="68">
        <f t="shared" si="393"/>
        <v>-2.01330403526152</v>
      </c>
      <c r="AE428" s="31">
        <f t="shared" si="394"/>
        <v>153.751991516673</v>
      </c>
      <c r="AF428" s="32" t="str">
        <f t="shared" si="395"/>
        <v>75,4669735059805</v>
      </c>
      <c r="AG428" s="32" t="str">
        <f t="shared" si="377"/>
        <v>1+148,313655941628i</v>
      </c>
      <c r="AH428" s="32">
        <f t="shared" si="396"/>
        <v>148.317027137047</v>
      </c>
      <c r="AI428" s="32">
        <f t="shared" si="397"/>
        <v>1.56405396149858</v>
      </c>
      <c r="AJ428" s="32" t="str">
        <f t="shared" si="378"/>
        <v>1+0,158201233004403i</v>
      </c>
      <c r="AK428" s="32">
        <f t="shared" si="398"/>
        <v>1.01243648201955</v>
      </c>
      <c r="AL428" s="32">
        <f t="shared" si="399"/>
        <v>0.156900903704206</v>
      </c>
      <c r="AM428" s="32" t="str">
        <f t="shared" si="379"/>
        <v>1-1,76874355561064i</v>
      </c>
      <c r="AN428" s="32">
        <f t="shared" si="400"/>
        <v>2.0318596815514</v>
      </c>
      <c r="AO428" s="32">
        <f t="shared" si="401"/>
        <v>-1.05622702478217</v>
      </c>
      <c r="AP428" s="30" t="str">
        <f t="shared" si="402"/>
        <v>-0,815070226137814-0,65670970271636i</v>
      </c>
      <c r="AQ428" s="32">
        <f t="shared" si="403"/>
        <v>0.396548408493974</v>
      </c>
      <c r="AR428" s="31">
        <f t="shared" si="404"/>
        <v>-141.141282068224</v>
      </c>
      <c r="AS428" t="str">
        <f t="shared" si="380"/>
        <v>-0,000338461538461538</v>
      </c>
      <c r="AT428" t="str">
        <f t="shared" si="381"/>
        <v>0,138468793211763i</v>
      </c>
      <c r="AU428">
        <f t="shared" si="405"/>
        <v>0.138468793211763</v>
      </c>
      <c r="AV428">
        <f t="shared" si="406"/>
        <v>1.5707963267949</v>
      </c>
      <c r="AW428" t="str">
        <f t="shared" si="382"/>
        <v>1+22,4729725288834i</v>
      </c>
      <c r="AX428">
        <f t="shared" si="407"/>
        <v>22.4952104743198</v>
      </c>
      <c r="AY428">
        <f t="shared" si="408"/>
        <v>1.52632776524549</v>
      </c>
      <c r="AZ428" t="str">
        <f t="shared" si="383"/>
        <v>1+196,169528925459i</v>
      </c>
      <c r="BA428">
        <f t="shared" si="409"/>
        <v>196.172077724727</v>
      </c>
      <c r="BB428">
        <f t="shared" si="410"/>
        <v>1.56569873929666</v>
      </c>
      <c r="BC428" s="30" t="str">
        <f t="shared" si="411"/>
        <v>-0,000839012639672953+0,0212994243762219i</v>
      </c>
      <c r="BD428" s="32">
        <f t="shared" si="412"/>
        <v>-33.4259090430356</v>
      </c>
      <c r="BE428" s="31">
        <f t="shared" si="413"/>
        <v>92.2557906484513</v>
      </c>
      <c r="BF428" s="30" t="str">
        <f t="shared" si="414"/>
        <v>-0,0068741678617907-0,0154452793263203i</v>
      </c>
      <c r="BG428" s="68">
        <f t="shared" si="415"/>
        <v>-35.4392130782971</v>
      </c>
      <c r="BH428" s="31">
        <f t="shared" si="416"/>
        <v>-113.992217834876</v>
      </c>
      <c r="BI428" s="30" t="str">
        <f t="shared" si="369"/>
        <v>0,014671392872089-0,0168095389017576i</v>
      </c>
      <c r="BJ428" s="68">
        <f t="shared" si="417"/>
        <v>-33.0293606345416</v>
      </c>
      <c r="BK428" s="31">
        <f t="shared" si="370"/>
        <v>-48.8854914197729</v>
      </c>
      <c r="BL428" s="32">
        <f t="shared" si="418"/>
        <v>-35.4392130782971</v>
      </c>
      <c r="BM428" s="31">
        <f t="shared" si="419"/>
        <v>-113.992217834876</v>
      </c>
      <c r="BO428">
        <f t="shared" si="420"/>
        <v>0</v>
      </c>
      <c r="BP428">
        <f t="shared" si="421"/>
        <v>0</v>
      </c>
    </row>
    <row r="429" spans="14:68">
      <c r="N429" s="7">
        <v>11</v>
      </c>
      <c r="O429" s="18">
        <f t="shared" si="422"/>
        <v>128824.955169314</v>
      </c>
      <c r="P429" s="86" t="str">
        <f t="shared" si="372"/>
        <v>15</v>
      </c>
      <c r="Q429" s="4" t="str">
        <f t="shared" si="373"/>
        <v>1+236,084060776054i</v>
      </c>
      <c r="R429" s="4">
        <f t="shared" si="384"/>
        <v>236.086178656252</v>
      </c>
      <c r="S429" s="4">
        <f t="shared" si="385"/>
        <v>1.56656057273269</v>
      </c>
      <c r="T429" s="4" t="str">
        <f t="shared" si="374"/>
        <v>1+0,16188621310358i</v>
      </c>
      <c r="U429" s="4">
        <f t="shared" si="386"/>
        <v>1.01301882805455</v>
      </c>
      <c r="V429" s="4">
        <f t="shared" si="387"/>
        <v>0.160493850430466</v>
      </c>
      <c r="W429" t="str">
        <f t="shared" si="375"/>
        <v>1-14,1650436465633i</v>
      </c>
      <c r="X429" s="4">
        <f t="shared" si="388"/>
        <v>14.2002979373337</v>
      </c>
      <c r="Y429" s="4">
        <f t="shared" si="389"/>
        <v>-1.50031693437348</v>
      </c>
      <c r="Z429" t="str">
        <f t="shared" si="376"/>
        <v>0,881984931026661+0,751614560838049i</v>
      </c>
      <c r="AA429" s="4">
        <f t="shared" si="390"/>
        <v>1.15880191000096</v>
      </c>
      <c r="AB429" s="4">
        <f t="shared" si="391"/>
        <v>0.705761355015506</v>
      </c>
      <c r="AC429" s="67" t="str">
        <f t="shared" si="392"/>
        <v>-0,703006180748292+0,357591809291522i</v>
      </c>
      <c r="AD429" s="68">
        <f t="shared" si="393"/>
        <v>-2.06147064481767</v>
      </c>
      <c r="AE429" s="31">
        <f t="shared" si="394"/>
        <v>153.03933584086</v>
      </c>
      <c r="AF429" s="32" t="str">
        <f t="shared" si="395"/>
        <v>75,4669735059805</v>
      </c>
      <c r="AG429" s="32" t="str">
        <f t="shared" si="377"/>
        <v>1+151,768324784607i</v>
      </c>
      <c r="AH429" s="32">
        <f t="shared" si="396"/>
        <v>151.771619243935</v>
      </c>
      <c r="AI429" s="32">
        <f t="shared" si="397"/>
        <v>1.56420743197644</v>
      </c>
      <c r="AJ429" s="32" t="str">
        <f t="shared" si="378"/>
        <v>1+0,16188621310358i</v>
      </c>
      <c r="AK429" s="32">
        <f t="shared" si="398"/>
        <v>1.01301882805455</v>
      </c>
      <c r="AL429" s="32">
        <f t="shared" si="399"/>
        <v>0.160493850430466</v>
      </c>
      <c r="AM429" s="32" t="str">
        <f t="shared" si="379"/>
        <v>1-1,80994288559811i</v>
      </c>
      <c r="AN429" s="32">
        <f t="shared" si="400"/>
        <v>2.06782331187343</v>
      </c>
      <c r="AO429" s="32">
        <f t="shared" si="401"/>
        <v>-1.06603298153679</v>
      </c>
      <c r="AP429" s="30" t="str">
        <f t="shared" si="402"/>
        <v>-0,815226298227367-0,648319637175095i</v>
      </c>
      <c r="AQ429" s="32">
        <f t="shared" si="403"/>
        <v>0.353946206609392</v>
      </c>
      <c r="AR429" s="31">
        <f t="shared" si="404"/>
        <v>-141.506054531583</v>
      </c>
      <c r="AS429" t="str">
        <f t="shared" si="380"/>
        <v>-0,000338461538461538</v>
      </c>
      <c r="AT429" t="str">
        <f t="shared" si="381"/>
        <v>0,141694145743171i</v>
      </c>
      <c r="AU429">
        <f t="shared" si="405"/>
        <v>0.141694145743171</v>
      </c>
      <c r="AV429">
        <f t="shared" si="406"/>
        <v>1.5707963267949</v>
      </c>
      <c r="AW429" t="str">
        <f t="shared" si="382"/>
        <v>1+22,9964353045243i</v>
      </c>
      <c r="AX429">
        <f t="shared" si="407"/>
        <v>23.0181675359958</v>
      </c>
      <c r="AY429">
        <f t="shared" si="408"/>
        <v>1.52733870452224</v>
      </c>
      <c r="AZ429" t="str">
        <f t="shared" si="383"/>
        <v>1+200,738904248439i</v>
      </c>
      <c r="BA429">
        <f t="shared" si="409"/>
        <v>200.741395030681</v>
      </c>
      <c r="BB429">
        <f t="shared" si="410"/>
        <v>1.56581477261251</v>
      </c>
      <c r="BC429" s="30" t="str">
        <f t="shared" si="411"/>
        <v>-0,000801322121173463+0,020816229257592i</v>
      </c>
      <c r="BD429" s="32">
        <f t="shared" si="412"/>
        <v>-33.6255278374727</v>
      </c>
      <c r="BE429" s="31">
        <f t="shared" si="413"/>
        <v>92.204516313831</v>
      </c>
      <c r="BF429" s="30" t="str">
        <f t="shared" si="414"/>
        <v>-0,00688037867889416-0,0149204840550963i</v>
      </c>
      <c r="BG429" s="68">
        <f t="shared" si="415"/>
        <v>-35.6869984822904</v>
      </c>
      <c r="BH429" s="31">
        <f t="shared" si="416"/>
        <v>-114.756147845309</v>
      </c>
      <c r="BI429" s="30" t="str">
        <f t="shared" si="369"/>
        <v>0,0141488290661676-0,0164504246538594i</v>
      </c>
      <c r="BJ429" s="68">
        <f t="shared" si="417"/>
        <v>-33.2715816308633</v>
      </c>
      <c r="BK429" s="31">
        <f t="shared" si="370"/>
        <v>-49.3015382177516</v>
      </c>
      <c r="BL429" s="32">
        <f t="shared" si="418"/>
        <v>-35.6869984822904</v>
      </c>
      <c r="BM429" s="31">
        <f t="shared" si="419"/>
        <v>-114.756147845309</v>
      </c>
      <c r="BO429">
        <f t="shared" si="420"/>
        <v>0</v>
      </c>
      <c r="BP429">
        <f t="shared" si="421"/>
        <v>0</v>
      </c>
    </row>
    <row r="430" spans="14:68">
      <c r="N430" s="7">
        <v>12</v>
      </c>
      <c r="O430" s="18">
        <f t="shared" si="422"/>
        <v>131825.673855641</v>
      </c>
      <c r="P430" s="86" t="str">
        <f t="shared" si="372"/>
        <v>15</v>
      </c>
      <c r="Q430" s="4" t="str">
        <f t="shared" si="373"/>
        <v>1+241,583164981319i</v>
      </c>
      <c r="R430" s="4">
        <f t="shared" si="384"/>
        <v>241.585234653095</v>
      </c>
      <c r="S430" s="4">
        <f t="shared" si="385"/>
        <v>1.56665698915231</v>
      </c>
      <c r="T430" s="4" t="str">
        <f t="shared" si="374"/>
        <v>1+0,165657027415762i</v>
      </c>
      <c r="U430" s="4">
        <f t="shared" si="386"/>
        <v>1.01362826062232</v>
      </c>
      <c r="V430" s="4">
        <f t="shared" si="387"/>
        <v>0.164166165165045</v>
      </c>
      <c r="W430" t="str">
        <f t="shared" si="375"/>
        <v>1-14,4949898988792i</v>
      </c>
      <c r="X430" s="4">
        <f t="shared" si="388"/>
        <v>14.5294436290111</v>
      </c>
      <c r="Y430" s="4">
        <f t="shared" si="389"/>
        <v>-1.50191611288022</v>
      </c>
      <c r="Z430" t="str">
        <f t="shared" si="376"/>
        <v>0,876423052177822+0,76912191300175i</v>
      </c>
      <c r="AA430" s="4">
        <f t="shared" si="390"/>
        <v>1.16604711887992</v>
      </c>
      <c r="AB430" s="4">
        <f t="shared" si="391"/>
        <v>0.720283293730656</v>
      </c>
      <c r="AC430" s="67" t="str">
        <f t="shared" si="392"/>
        <v>-0,694465366284052+0,364284826748223i</v>
      </c>
      <c r="AD430" s="68">
        <f t="shared" si="393"/>
        <v>-2.11135067337056</v>
      </c>
      <c r="AE430" s="31">
        <f t="shared" si="394"/>
        <v>152.320547744425</v>
      </c>
      <c r="AF430" s="32" t="str">
        <f t="shared" si="395"/>
        <v>75,4669735059805</v>
      </c>
      <c r="AG430" s="32" t="str">
        <f t="shared" si="377"/>
        <v>1+155,303463202277i</v>
      </c>
      <c r="AH430" s="32">
        <f t="shared" si="396"/>
        <v>155.306682672128</v>
      </c>
      <c r="AI430" s="32">
        <f t="shared" si="397"/>
        <v>1.56435740933963</v>
      </c>
      <c r="AJ430" s="32" t="str">
        <f t="shared" si="378"/>
        <v>1+0,165657027415762i</v>
      </c>
      <c r="AK430" s="32">
        <f t="shared" si="398"/>
        <v>1.01362826062232</v>
      </c>
      <c r="AL430" s="32">
        <f t="shared" si="399"/>
        <v>0.164166165165045</v>
      </c>
      <c r="AM430" s="32" t="str">
        <f t="shared" si="379"/>
        <v>1-1,85210187126095i</v>
      </c>
      <c r="AN430" s="32">
        <f t="shared" si="400"/>
        <v>2.10482335162082</v>
      </c>
      <c r="AO430" s="32">
        <f t="shared" si="401"/>
        <v>-1.07571950343149</v>
      </c>
      <c r="AP430" s="30" t="str">
        <f t="shared" si="402"/>
        <v>-0,815375346511954-0,640273226698868i</v>
      </c>
      <c r="AQ430" s="32">
        <f t="shared" si="403"/>
        <v>0.313223080537083</v>
      </c>
      <c r="AR430" s="31">
        <f t="shared" si="404"/>
        <v>-141.859236288909</v>
      </c>
      <c r="AS430" t="str">
        <f t="shared" si="380"/>
        <v>-0,000338461538461538</v>
      </c>
      <c r="AT430" t="str">
        <f t="shared" si="381"/>
        <v>0,144994626386194i</v>
      </c>
      <c r="AU430">
        <f t="shared" si="405"/>
        <v>0.144994626386194</v>
      </c>
      <c r="AV430">
        <f t="shared" si="406"/>
        <v>1.5707963267949</v>
      </c>
      <c r="AW430" t="str">
        <f t="shared" si="382"/>
        <v>1+23,5320910945574i</v>
      </c>
      <c r="AX430">
        <f t="shared" si="407"/>
        <v>23.5533290912887</v>
      </c>
      <c r="AY430">
        <f t="shared" si="408"/>
        <v>1.52832671790556</v>
      </c>
      <c r="AZ430" t="str">
        <f t="shared" si="383"/>
        <v>1+205,414713995545i</v>
      </c>
      <c r="BA430">
        <f t="shared" si="409"/>
        <v>205.417148081341</v>
      </c>
      <c r="BB430">
        <f t="shared" si="410"/>
        <v>1.56592816481726</v>
      </c>
      <c r="BC430" s="30" t="str">
        <f t="shared" si="411"/>
        <v>-0,000765321695697517+0,0203439238743455i</v>
      </c>
      <c r="BD430" s="32">
        <f t="shared" si="412"/>
        <v>-33.8251637569156</v>
      </c>
      <c r="BE430" s="31">
        <f t="shared" si="413"/>
        <v>92.1544042116256</v>
      </c>
      <c r="BF430" s="30" t="str">
        <f t="shared" si="414"/>
        <v>-0,00687949337221728-0,014406945626376i</v>
      </c>
      <c r="BG430" s="68">
        <f t="shared" si="415"/>
        <v>-35.9365144302861</v>
      </c>
      <c r="BH430" s="31">
        <f t="shared" si="416"/>
        <v>-115.525048043949</v>
      </c>
      <c r="BI430" s="30" t="str">
        <f t="shared" si="369"/>
        <v>0,0136496942255658-0,0160979189868904i</v>
      </c>
      <c r="BJ430" s="68">
        <f t="shared" si="417"/>
        <v>-33.5119406763785</v>
      </c>
      <c r="BK430" s="31">
        <f t="shared" si="370"/>
        <v>-49.7048320772829</v>
      </c>
      <c r="BL430" s="32">
        <f t="shared" si="418"/>
        <v>-35.9365144302861</v>
      </c>
      <c r="BM430" s="31">
        <f t="shared" si="419"/>
        <v>-115.525048043949</v>
      </c>
      <c r="BO430">
        <f t="shared" si="420"/>
        <v>0</v>
      </c>
      <c r="BP430">
        <f t="shared" si="421"/>
        <v>0</v>
      </c>
    </row>
    <row r="431" spans="14:68">
      <c r="N431" s="7">
        <v>13</v>
      </c>
      <c r="O431" s="18">
        <f t="shared" si="422"/>
        <v>134896.288259165</v>
      </c>
      <c r="P431" s="86" t="str">
        <f t="shared" si="372"/>
        <v>15</v>
      </c>
      <c r="Q431" s="4" t="str">
        <f t="shared" si="373"/>
        <v>1+247,210359778389i</v>
      </c>
      <c r="R431" s="4">
        <f t="shared" si="384"/>
        <v>247.212382339074</v>
      </c>
      <c r="S431" s="4">
        <f t="shared" si="385"/>
        <v>1.56675121094065</v>
      </c>
      <c r="T431" s="4" t="str">
        <f t="shared" si="374"/>
        <v>1+0,16951567527661i</v>
      </c>
      <c r="U431" s="4">
        <f t="shared" si="386"/>
        <v>1.0142660223849</v>
      </c>
      <c r="V431" s="4">
        <f t="shared" si="387"/>
        <v>0.167919398621326</v>
      </c>
      <c r="W431" t="str">
        <f t="shared" si="375"/>
        <v>1-14,8326215867034i</v>
      </c>
      <c r="X431" s="4">
        <f t="shared" si="388"/>
        <v>14.866292851089</v>
      </c>
      <c r="Y431" s="4">
        <f t="shared" si="389"/>
        <v>-1.50347923068013</v>
      </c>
      <c r="Z431" t="str">
        <f t="shared" si="376"/>
        <v>0,870599050054401+0,787037063784258i</v>
      </c>
      <c r="AA431" s="4">
        <f t="shared" si="390"/>
        <v>1.17361409574262</v>
      </c>
      <c r="AB431" s="4">
        <f t="shared" si="391"/>
        <v>0.735030467685865</v>
      </c>
      <c r="AC431" s="67" t="str">
        <f t="shared" si="392"/>
        <v>-0,685712063688585+0,370829905921669i</v>
      </c>
      <c r="AD431" s="68">
        <f t="shared" si="393"/>
        <v>-2.1629943411445</v>
      </c>
      <c r="AE431" s="31">
        <f t="shared" si="394"/>
        <v>151.595682789992</v>
      </c>
      <c r="AF431" s="32" t="str">
        <f t="shared" si="395"/>
        <v>75,4669735059805</v>
      </c>
      <c r="AG431" s="32" t="str">
        <f t="shared" si="377"/>
        <v>1+158,920945571822i</v>
      </c>
      <c r="AH431" s="32">
        <f t="shared" si="396"/>
        <v>158.92409175906</v>
      </c>
      <c r="AI431" s="32">
        <f t="shared" si="397"/>
        <v>1.56450397308116</v>
      </c>
      <c r="AJ431" s="32" t="str">
        <f t="shared" si="378"/>
        <v>1+0,16951567527661i</v>
      </c>
      <c r="AK431" s="32">
        <f t="shared" si="398"/>
        <v>1.0142660223849</v>
      </c>
      <c r="AL431" s="32">
        <f t="shared" si="399"/>
        <v>0.167919398621326</v>
      </c>
      <c r="AM431" s="32" t="str">
        <f t="shared" si="379"/>
        <v>1-1,8952428658514i</v>
      </c>
      <c r="AN431" s="32">
        <f t="shared" si="400"/>
        <v>2.14288252607571</v>
      </c>
      <c r="AO431" s="32">
        <f t="shared" si="401"/>
        <v>-1.08528445463312</v>
      </c>
      <c r="AP431" s="30" t="str">
        <f t="shared" si="402"/>
        <v>-0,815517687062416-0,632566211153682i</v>
      </c>
      <c r="AQ431" s="32">
        <f t="shared" si="403"/>
        <v>0.274348717618249</v>
      </c>
      <c r="AR431" s="31">
        <f t="shared" si="404"/>
        <v>-142.200620671258</v>
      </c>
      <c r="AS431" t="str">
        <f t="shared" si="380"/>
        <v>-0,000338461538461538</v>
      </c>
      <c r="AT431" t="str">
        <f t="shared" si="381"/>
        <v>0,148371985099359i</v>
      </c>
      <c r="AU431">
        <f t="shared" si="405"/>
        <v>0.148371985099359</v>
      </c>
      <c r="AV431">
        <f t="shared" si="406"/>
        <v>1.5707963267949</v>
      </c>
      <c r="AW431" t="str">
        <f t="shared" si="382"/>
        <v>1+24,0802239107729i</v>
      </c>
      <c r="AX431">
        <f t="shared" si="407"/>
        <v>24.1009788928367</v>
      </c>
      <c r="AY431">
        <f t="shared" si="408"/>
        <v>1.52929232153308</v>
      </c>
      <c r="AZ431" t="str">
        <f t="shared" si="383"/>
        <v>1+210,199437342996i</v>
      </c>
      <c r="BA431">
        <f t="shared" si="409"/>
        <v>210.201816022869</v>
      </c>
      <c r="BB431">
        <f t="shared" si="410"/>
        <v>1.56603897602127</v>
      </c>
      <c r="BC431" s="30" t="str">
        <f t="shared" si="411"/>
        <v>-0,000730935845862351+0,0198822676008209i</v>
      </c>
      <c r="BD431" s="32">
        <f t="shared" si="412"/>
        <v>-34.0248160334291</v>
      </c>
      <c r="BE431" s="31">
        <f t="shared" si="413"/>
        <v>92.1054282133988</v>
      </c>
      <c r="BF431" s="30" t="str">
        <f t="shared" si="414"/>
        <v>-0,00687172789663163-0,0139045636183235i</v>
      </c>
      <c r="BG431" s="68">
        <f t="shared" si="415"/>
        <v>-36.1878103745736</v>
      </c>
      <c r="BH431" s="31">
        <f t="shared" si="416"/>
        <v>-116.298888996609</v>
      </c>
      <c r="BI431" s="30" t="str">
        <f t="shared" si="369"/>
        <v>0,0131729417958036-0,0157519755687639i</v>
      </c>
      <c r="BJ431" s="68">
        <f t="shared" si="417"/>
        <v>-33.7504673158108</v>
      </c>
      <c r="BK431" s="31">
        <f t="shared" si="370"/>
        <v>-50.0951924578588</v>
      </c>
      <c r="BL431" s="32">
        <f t="shared" si="418"/>
        <v>-36.1878103745736</v>
      </c>
      <c r="BM431" s="31">
        <f t="shared" si="419"/>
        <v>-116.298888996609</v>
      </c>
      <c r="BO431">
        <f t="shared" si="420"/>
        <v>0</v>
      </c>
      <c r="BP431">
        <f t="shared" si="421"/>
        <v>0</v>
      </c>
    </row>
    <row r="432" spans="14:68">
      <c r="N432" s="7">
        <v>14</v>
      </c>
      <c r="O432" s="18">
        <f t="shared" si="422"/>
        <v>138038.426460289</v>
      </c>
      <c r="P432" s="86" t="str">
        <f t="shared" si="372"/>
        <v>15</v>
      </c>
      <c r="Q432" s="4" t="str">
        <f t="shared" si="373"/>
        <v>1+252,96862878043i</v>
      </c>
      <c r="R432" s="4">
        <f t="shared" si="384"/>
        <v>252.970605302377</v>
      </c>
      <c r="S432" s="4">
        <f t="shared" si="385"/>
        <v>1.56684328804864</v>
      </c>
      <c r="T432" s="4" t="str">
        <f t="shared" si="374"/>
        <v>1+0,173464202592295i</v>
      </c>
      <c r="U432" s="4">
        <f t="shared" si="386"/>
        <v>1.01493341140243</v>
      </c>
      <c r="V432" s="4">
        <f t="shared" si="387"/>
        <v>0.171755117632956</v>
      </c>
      <c r="W432" t="str">
        <f t="shared" si="375"/>
        <v>1-15,1781177268258i</v>
      </c>
      <c r="X432" s="4">
        <f t="shared" si="388"/>
        <v>15.2110242169745</v>
      </c>
      <c r="Y432" s="4">
        <f t="shared" si="389"/>
        <v>-1.50500708598799</v>
      </c>
      <c r="Z432" t="str">
        <f t="shared" si="376"/>
        <v>0,864500571167057+0,805369512035653i</v>
      </c>
      <c r="AA432" s="4">
        <f t="shared" si="390"/>
        <v>1.18151652060592</v>
      </c>
      <c r="AB432" s="4">
        <f t="shared" si="391"/>
        <v>0.750002378229167</v>
      </c>
      <c r="AC432" s="67" t="str">
        <f t="shared" si="392"/>
        <v>-0,676748146680643+0,377217772772189i</v>
      </c>
      <c r="AD432" s="68">
        <f t="shared" si="393"/>
        <v>-2.21645184060156</v>
      </c>
      <c r="AE432" s="31">
        <f t="shared" si="394"/>
        <v>150.864810724854</v>
      </c>
      <c r="AF432" s="32" t="str">
        <f t="shared" si="395"/>
        <v>75,4669735059805</v>
      </c>
      <c r="AG432" s="32" t="str">
        <f t="shared" si="377"/>
        <v>1+162,622689930277i</v>
      </c>
      <c r="AH432" s="32">
        <f t="shared" si="396"/>
        <v>162.625764502919</v>
      </c>
      <c r="AI432" s="32">
        <f t="shared" si="397"/>
        <v>1.56464720088583</v>
      </c>
      <c r="AJ432" s="32" t="str">
        <f t="shared" si="378"/>
        <v>1+0,173464202592295i</v>
      </c>
      <c r="AK432" s="32">
        <f t="shared" si="398"/>
        <v>1.01493341140243</v>
      </c>
      <c r="AL432" s="32">
        <f t="shared" si="399"/>
        <v>0.171755117632956</v>
      </c>
      <c r="AM432" s="32" t="str">
        <f t="shared" si="379"/>
        <v>1-1,93938874329583i</v>
      </c>
      <c r="AN432" s="32">
        <f t="shared" si="400"/>
        <v>2.18202399107402</v>
      </c>
      <c r="AO432" s="32">
        <f t="shared" si="401"/>
        <v>-1.0947259051389</v>
      </c>
      <c r="AP432" s="30" t="str">
        <f t="shared" si="402"/>
        <v>-0,815653621728671-0,625194509944843i</v>
      </c>
      <c r="AQ432" s="32">
        <f t="shared" si="403"/>
        <v>0.237293066337511</v>
      </c>
      <c r="AR432" s="31">
        <f t="shared" si="404"/>
        <v>-142.530011775673</v>
      </c>
      <c r="AS432" t="str">
        <f t="shared" si="380"/>
        <v>-0,000338461538461538</v>
      </c>
      <c r="AT432" t="str">
        <f t="shared" si="381"/>
        <v>0,151828012602958i</v>
      </c>
      <c r="AU432">
        <f t="shared" si="405"/>
        <v>0.151828012602958</v>
      </c>
      <c r="AV432">
        <f t="shared" si="406"/>
        <v>1.5707963267949</v>
      </c>
      <c r="AW432" t="str">
        <f t="shared" si="382"/>
        <v>1+24,6411243804454i</v>
      </c>
      <c r="AX432">
        <f t="shared" si="407"/>
        <v>24.6614073145184</v>
      </c>
      <c r="AY432">
        <f t="shared" si="408"/>
        <v>1.53023602017396</v>
      </c>
      <c r="AZ432" t="str">
        <f t="shared" si="383"/>
        <v>1+215,095611214446i</v>
      </c>
      <c r="BA432">
        <f t="shared" si="409"/>
        <v>215.097935749547</v>
      </c>
      <c r="BB432">
        <f t="shared" si="410"/>
        <v>1.56614726496722</v>
      </c>
      <c r="BC432" s="30" t="str">
        <f t="shared" si="411"/>
        <v>-0,000698092404979426+0,0194310248075581i</v>
      </c>
      <c r="BD432" s="32">
        <f t="shared" si="412"/>
        <v>-34.2244839333933</v>
      </c>
      <c r="BE432" s="31">
        <f t="shared" si="413"/>
        <v>92.057562763715</v>
      </c>
      <c r="BF432" s="30" t="str">
        <f t="shared" si="414"/>
        <v>-0,00685729515930656-0,0134132428888161i</v>
      </c>
      <c r="BG432" s="68">
        <f t="shared" si="415"/>
        <v>-36.4409357739949</v>
      </c>
      <c r="BH432" s="31">
        <f t="shared" si="416"/>
        <v>-117.077626511431</v>
      </c>
      <c r="BI432" s="30" t="str">
        <f t="shared" si="369"/>
        <v>0,0127175716307101-0,0154125422191571i</v>
      </c>
      <c r="BJ432" s="68">
        <f t="shared" si="417"/>
        <v>-33.9871908670558</v>
      </c>
      <c r="BK432" s="31">
        <f t="shared" si="370"/>
        <v>-50.4724490119578</v>
      </c>
      <c r="BL432" s="32">
        <f t="shared" si="418"/>
        <v>-36.4409357739949</v>
      </c>
      <c r="BM432" s="31">
        <f t="shared" si="419"/>
        <v>-117.077626511431</v>
      </c>
      <c r="BO432">
        <f t="shared" si="420"/>
        <v>0</v>
      </c>
      <c r="BP432">
        <f t="shared" si="421"/>
        <v>0</v>
      </c>
    </row>
    <row r="433" spans="14:68">
      <c r="N433" s="7">
        <v>15</v>
      </c>
      <c r="O433" s="18">
        <f t="shared" si="422"/>
        <v>141253.754462276</v>
      </c>
      <c r="P433" s="86" t="str">
        <f t="shared" si="372"/>
        <v>15</v>
      </c>
      <c r="Q433" s="4" t="str">
        <f t="shared" si="373"/>
        <v>1+258,861025097886i</v>
      </c>
      <c r="R433" s="4">
        <f t="shared" si="384"/>
        <v>258.86295662904</v>
      </c>
      <c r="S433" s="4">
        <f t="shared" si="385"/>
        <v>1.56693326929054</v>
      </c>
      <c r="T433" s="4" t="str">
        <f t="shared" si="374"/>
        <v>1+0,177504702924265i</v>
      </c>
      <c r="U433" s="4">
        <f t="shared" si="386"/>
        <v>1.01563178345315</v>
      </c>
      <c r="V433" s="4">
        <f t="shared" si="387"/>
        <v>0.175674904251293</v>
      </c>
      <c r="W433" t="str">
        <f t="shared" si="375"/>
        <v>1-15,5316615058732i</v>
      </c>
      <c r="X433" s="4">
        <f t="shared" si="388"/>
        <v>15.5638205185303</v>
      </c>
      <c r="Y433" s="4">
        <f t="shared" si="389"/>
        <v>-1.50650046034454</v>
      </c>
      <c r="Z433" t="str">
        <f t="shared" si="376"/>
        <v>0,858114679824434+0,824128977862656i</v>
      </c>
      <c r="AA433" s="4">
        <f t="shared" si="390"/>
        <v>1.18976862283519</v>
      </c>
      <c r="AB433" s="4">
        <f t="shared" si="391"/>
        <v>0.765198307545344</v>
      </c>
      <c r="AC433" s="67" t="str">
        <f t="shared" si="392"/>
        <v>-0,667576058252286+0,383439025509158i</v>
      </c>
      <c r="AD433" s="68">
        <f t="shared" si="393"/>
        <v>-2.27177324452884</v>
      </c>
      <c r="AE433" s="31">
        <f t="shared" si="394"/>
        <v>150.12801574582</v>
      </c>
      <c r="AF433" s="32" t="str">
        <f t="shared" si="395"/>
        <v>75,4669735059805</v>
      </c>
      <c r="AG433" s="32" t="str">
        <f t="shared" si="377"/>
        <v>1+166,410658991498i</v>
      </c>
      <c r="AH433" s="32">
        <f t="shared" si="396"/>
        <v>166.413663579601</v>
      </c>
      <c r="AI433" s="32">
        <f t="shared" si="397"/>
        <v>1.56478716867143</v>
      </c>
      <c r="AJ433" s="32" t="str">
        <f t="shared" si="378"/>
        <v>1+0,177504702924265i</v>
      </c>
      <c r="AK433" s="32">
        <f t="shared" si="398"/>
        <v>1.01563178345315</v>
      </c>
      <c r="AL433" s="32">
        <f t="shared" si="399"/>
        <v>0.175674904251293</v>
      </c>
      <c r="AM433" s="32" t="str">
        <f t="shared" si="379"/>
        <v>1-1,98456291032281i</v>
      </c>
      <c r="AN433" s="32">
        <f t="shared" si="400"/>
        <v>2.22227134819962</v>
      </c>
      <c r="AO433" s="32">
        <f t="shared" si="401"/>
        <v>-1.10404212710315</v>
      </c>
      <c r="AP433" s="30" t="str">
        <f t="shared" si="402"/>
        <v>-0,815783438779399-0,618154219880897i</v>
      </c>
      <c r="AQ433" s="32">
        <f t="shared" si="403"/>
        <v>0.202026444194624</v>
      </c>
      <c r="AR433" s="31">
        <f t="shared" si="404"/>
        <v>-142.847224308791</v>
      </c>
      <c r="AS433" t="str">
        <f t="shared" si="380"/>
        <v>-0,000338461538461538</v>
      </c>
      <c r="AT433" t="str">
        <f t="shared" si="381"/>
        <v>0,155364541328521i</v>
      </c>
      <c r="AU433">
        <f t="shared" si="405"/>
        <v>0.155364541328521</v>
      </c>
      <c r="AV433">
        <f t="shared" si="406"/>
        <v>1.5707963267949</v>
      </c>
      <c r="AW433" t="str">
        <f t="shared" si="382"/>
        <v>1+25,2150899004283i</v>
      </c>
      <c r="AX433">
        <f t="shared" si="407"/>
        <v>25.234911505426</v>
      </c>
      <c r="AY433">
        <f t="shared" si="408"/>
        <v>1.53115830746246</v>
      </c>
      <c r="AZ433" t="str">
        <f t="shared" si="383"/>
        <v>1+220,105831626088i</v>
      </c>
      <c r="BA433">
        <f t="shared" si="409"/>
        <v>220.108103248862</v>
      </c>
      <c r="BB433">
        <f t="shared" si="410"/>
        <v>1.56625308906118</v>
      </c>
      <c r="BC433" s="30" t="str">
        <f t="shared" si="411"/>
        <v>-0,000666722410460631+0,018989964779342i</v>
      </c>
      <c r="BD433" s="32">
        <f t="shared" si="412"/>
        <v>-34.4241667559815</v>
      </c>
      <c r="BE433" s="31">
        <f t="shared" si="413"/>
        <v>92.0107828685399</v>
      </c>
      <c r="BF433" s="30" t="str">
        <f t="shared" si="414"/>
        <v>-0,00683640567072036-0,012932893225095i</v>
      </c>
      <c r="BG433" s="68">
        <f t="shared" si="415"/>
        <v>-36.6959400005104</v>
      </c>
      <c r="BH433" s="31">
        <f t="shared" si="416"/>
        <v>-117.86120138564</v>
      </c>
      <c r="BI433" s="30" t="str">
        <f t="shared" si="369"/>
        <v>0,0122826279644567-0,0150795614984759i</v>
      </c>
      <c r="BJ433" s="68">
        <f t="shared" si="417"/>
        <v>-34.2221403117869</v>
      </c>
      <c r="BK433" s="31">
        <f t="shared" si="370"/>
        <v>-50.8364414402513</v>
      </c>
      <c r="BL433" s="32">
        <f t="shared" si="418"/>
        <v>-36.6959400005104</v>
      </c>
      <c r="BM433" s="31">
        <f t="shared" si="419"/>
        <v>-117.86120138564</v>
      </c>
      <c r="BO433">
        <f t="shared" si="420"/>
        <v>0</v>
      </c>
      <c r="BP433">
        <f t="shared" si="421"/>
        <v>0</v>
      </c>
    </row>
    <row r="434" spans="14:68">
      <c r="N434" s="7">
        <v>16</v>
      </c>
      <c r="O434" s="18">
        <f t="shared" si="422"/>
        <v>144543.977074593</v>
      </c>
      <c r="P434" s="86" t="str">
        <f t="shared" si="372"/>
        <v>15</v>
      </c>
      <c r="Q434" s="4" t="str">
        <f t="shared" si="373"/>
        <v>1+264,890672957279i</v>
      </c>
      <c r="R434" s="4">
        <f t="shared" si="384"/>
        <v>264.892560521733</v>
      </c>
      <c r="S434" s="4">
        <f t="shared" si="385"/>
        <v>1.56702120236975</v>
      </c>
      <c r="T434" s="4" t="str">
        <f t="shared" si="374"/>
        <v>1+0,181639318599277i</v>
      </c>
      <c r="U434" s="4">
        <f t="shared" si="386"/>
        <v>1.01636255443676</v>
      </c>
      <c r="V434" s="4">
        <f t="shared" si="387"/>
        <v>0.179680354747715</v>
      </c>
      <c r="W434" t="str">
        <f t="shared" si="375"/>
        <v>1-15,8934403774368i</v>
      </c>
      <c r="X434" s="4">
        <f t="shared" si="388"/>
        <v>15.9248688230434</v>
      </c>
      <c r="Y434" s="4">
        <f t="shared" si="389"/>
        <v>-1.50796011889785</v>
      </c>
      <c r="Z434" t="str">
        <f t="shared" si="376"/>
        <v>0,851427830694823+0,843325407782356i</v>
      </c>
      <c r="AA434" s="4">
        <f t="shared" si="390"/>
        <v>1.19838520280124</v>
      </c>
      <c r="AB434" s="4">
        <f t="shared" si="391"/>
        <v>0.780617313302381</v>
      </c>
      <c r="AC434" s="67" t="str">
        <f t="shared" si="392"/>
        <v>-0,658198831035587+0,389484170091024i</v>
      </c>
      <c r="AD434" s="68">
        <f t="shared" si="393"/>
        <v>-2.32900840942505</v>
      </c>
      <c r="AE434" s="31">
        <f t="shared" si="394"/>
        <v>149.385396731194</v>
      </c>
      <c r="AF434" s="32" t="str">
        <f t="shared" si="395"/>
        <v>75,4669735059805</v>
      </c>
      <c r="AG434" s="32" t="str">
        <f t="shared" si="377"/>
        <v>1+170,286861186822i</v>
      </c>
      <c r="AH434" s="32">
        <f t="shared" si="396"/>
        <v>170.289797383343</v>
      </c>
      <c r="AI434" s="32">
        <f t="shared" si="397"/>
        <v>1.56492395062876</v>
      </c>
      <c r="AJ434" s="32" t="str">
        <f t="shared" si="378"/>
        <v>1+0,181639318599277i</v>
      </c>
      <c r="AK434" s="32">
        <f t="shared" si="398"/>
        <v>1.01636255443676</v>
      </c>
      <c r="AL434" s="32">
        <f t="shared" si="399"/>
        <v>0.179680354747715</v>
      </c>
      <c r="AM434" s="32" t="str">
        <f t="shared" si="379"/>
        <v>1-2,03078931887363i</v>
      </c>
      <c r="AN434" s="32">
        <f t="shared" si="400"/>
        <v>2.26364866038244</v>
      </c>
      <c r="AO434" s="32">
        <f t="shared" si="401"/>
        <v>-1.11323159061451</v>
      </c>
      <c r="AP434" s="30" t="str">
        <f t="shared" si="402"/>
        <v>-0,81590741351283-0,611441613129748i</v>
      </c>
      <c r="AQ434" s="32">
        <f t="shared" si="403"/>
        <v>0.168519641460121</v>
      </c>
      <c r="AR434" s="31">
        <f t="shared" si="404"/>
        <v>-143.152083404357</v>
      </c>
      <c r="AS434" t="str">
        <f t="shared" si="380"/>
        <v>-0,000338461538461538</v>
      </c>
      <c r="AT434" t="str">
        <f t="shared" si="381"/>
        <v>0,158983446390389i</v>
      </c>
      <c r="AU434">
        <f t="shared" si="405"/>
        <v>0.158983446390389</v>
      </c>
      <c r="AV434">
        <f t="shared" si="406"/>
        <v>1.5707963267949</v>
      </c>
      <c r="AW434" t="str">
        <f t="shared" si="382"/>
        <v>1+25,8024247948375i</v>
      </c>
      <c r="AX434">
        <f t="shared" si="407"/>
        <v>25.8217955474294</v>
      </c>
      <c r="AY434">
        <f t="shared" si="408"/>
        <v>1.53205966612786</v>
      </c>
      <c r="AZ434" t="str">
        <f t="shared" si="383"/>
        <v>1+225,232755063104i</v>
      </c>
      <c r="BA434">
        <f t="shared" si="409"/>
        <v>225.234974977947</v>
      </c>
      <c r="BB434">
        <f t="shared" si="410"/>
        <v>1.566356504403</v>
      </c>
      <c r="BC434" s="30" t="str">
        <f t="shared" si="411"/>
        <v>-0,000636759963454925+0,0185588616330312i</v>
      </c>
      <c r="BD434" s="32">
        <f t="shared" si="412"/>
        <v>-34.6238638317031</v>
      </c>
      <c r="BE434" s="31">
        <f t="shared" si="413"/>
        <v>91.9650640838085</v>
      </c>
      <c r="BF434" s="30" t="str">
        <f t="shared" si="414"/>
        <v>-0,00680926815737901-0,0124634289581258i</v>
      </c>
      <c r="BG434" s="68">
        <f t="shared" si="415"/>
        <v>-36.9528722411281</v>
      </c>
      <c r="BH434" s="31">
        <f t="shared" si="416"/>
        <v>-118.649539184997</v>
      </c>
      <c r="BI434" s="30" t="str">
        <f t="shared" ref="BI434:BI497" si="423">IMPRODUCT(AP434,BC434)</f>
        <v>0,0118671974695634-0,0147529712535177i</v>
      </c>
      <c r="BJ434" s="68">
        <f t="shared" si="417"/>
        <v>-34.455344190243</v>
      </c>
      <c r="BK434" s="31">
        <f t="shared" ref="BK434:BK497" si="424">(180/PI())*IMARGUMENT(BI434)</f>
        <v>-51.1870193205484</v>
      </c>
      <c r="BL434" s="32">
        <f t="shared" si="418"/>
        <v>-36.9528722411281</v>
      </c>
      <c r="BM434" s="31">
        <f t="shared" si="419"/>
        <v>-118.649539184997</v>
      </c>
      <c r="BO434">
        <f t="shared" si="420"/>
        <v>0</v>
      </c>
      <c r="BP434">
        <f t="shared" si="421"/>
        <v>0</v>
      </c>
    </row>
    <row r="435" spans="14:68">
      <c r="N435" s="7">
        <v>17</v>
      </c>
      <c r="O435" s="18">
        <f t="shared" si="422"/>
        <v>147910.838816821</v>
      </c>
      <c r="P435" s="86" t="str">
        <f t="shared" si="372"/>
        <v>15</v>
      </c>
      <c r="Q435" s="4" t="str">
        <f t="shared" si="373"/>
        <v>1+271,060769357716i</v>
      </c>
      <c r="R435" s="4">
        <f t="shared" si="384"/>
        <v>271.062613956253</v>
      </c>
      <c r="S435" s="4">
        <f t="shared" si="385"/>
        <v>1.56710713390413</v>
      </c>
      <c r="T435" s="4" t="str">
        <f t="shared" si="374"/>
        <v>1+0,185870241845291i</v>
      </c>
      <c r="U435" s="4">
        <f t="shared" si="386"/>
        <v>1.01712720286286</v>
      </c>
      <c r="V435" s="4">
        <f t="shared" si="387"/>
        <v>0.183773078515177</v>
      </c>
      <c r="W435" t="str">
        <f t="shared" si="375"/>
        <v>1-16,263646161463i</v>
      </c>
      <c r="X435" s="4">
        <f t="shared" si="388"/>
        <v>16.2943605724579</v>
      </c>
      <c r="Y435" s="4">
        <f t="shared" si="389"/>
        <v>-1.50938681068454</v>
      </c>
      <c r="Z435" t="str">
        <f t="shared" si="376"/>
        <v>0,844425840074698+0,862968979995992i</v>
      </c>
      <c r="AA435" s="4">
        <f t="shared" si="390"/>
        <v>1.20738165458201</v>
      </c>
      <c r="AB435" s="4">
        <f t="shared" si="391"/>
        <v>0.796258223823609</v>
      </c>
      <c r="AC435" s="67" t="str">
        <f t="shared" si="392"/>
        <v>-0,648620105415032+0,395343658276444i</v>
      </c>
      <c r="AD435" s="68">
        <f t="shared" si="393"/>
        <v>-2.38820687447402</v>
      </c>
      <c r="AE435" s="31">
        <f t="shared" si="394"/>
        <v>148.637067436885</v>
      </c>
      <c r="AF435" s="32" t="str">
        <f t="shared" si="395"/>
        <v>75,4669735059805</v>
      </c>
      <c r="AG435" s="32" t="str">
        <f t="shared" si="377"/>
        <v>1+174,253351729961i</v>
      </c>
      <c r="AH435" s="32">
        <f t="shared" si="396"/>
        <v>174.256221091603</v>
      </c>
      <c r="AI435" s="32">
        <f t="shared" si="397"/>
        <v>1.56505761926095</v>
      </c>
      <c r="AJ435" s="32" t="str">
        <f t="shared" si="378"/>
        <v>1+0,185870241845291i</v>
      </c>
      <c r="AK435" s="32">
        <f t="shared" si="398"/>
        <v>1.01712720286286</v>
      </c>
      <c r="AL435" s="32">
        <f t="shared" si="399"/>
        <v>0.183773078515177</v>
      </c>
      <c r="AM435" s="32" t="str">
        <f t="shared" si="379"/>
        <v>1-2,07809247880198i</v>
      </c>
      <c r="AN435" s="32">
        <f t="shared" si="400"/>
        <v>2.3061804678848</v>
      </c>
      <c r="AO435" s="32">
        <f t="shared" si="401"/>
        <v>-1.12229295897895</v>
      </c>
      <c r="AP435" s="30" t="str">
        <f t="shared" si="402"/>
        <v>-0,816025808840284-0,60505313526614i</v>
      </c>
      <c r="AQ435" s="32">
        <f t="shared" si="403"/>
        <v>0.13674402059822</v>
      </c>
      <c r="AR435" s="31">
        <f t="shared" si="404"/>
        <v>-143.444424418142</v>
      </c>
      <c r="AS435" t="str">
        <f t="shared" si="380"/>
        <v>-0,000338461538461538</v>
      </c>
      <c r="AT435" t="str">
        <f t="shared" si="381"/>
        <v>0,162686646579928i</v>
      </c>
      <c r="AU435">
        <f t="shared" si="405"/>
        <v>0.162686646579928</v>
      </c>
      <c r="AV435">
        <f t="shared" si="406"/>
        <v>1.5707963267949</v>
      </c>
      <c r="AW435" t="str">
        <f t="shared" si="382"/>
        <v>1+26,4034404764083i</v>
      </c>
      <c r="AX435">
        <f t="shared" si="407"/>
        <v>26.4223706164159</v>
      </c>
      <c r="AY435">
        <f t="shared" si="408"/>
        <v>1.53294056822064</v>
      </c>
      <c r="AZ435" t="str">
        <f t="shared" si="383"/>
        <v>1+230,479099888161i</v>
      </c>
      <c r="BA435">
        <f t="shared" si="409"/>
        <v>230.481269272054</v>
      </c>
      <c r="BB435">
        <f t="shared" si="410"/>
        <v>1.56645756581601</v>
      </c>
      <c r="BC435" s="30" t="str">
        <f t="shared" si="411"/>
        <v>-0,000608142094466611+0,0181374942353048i</v>
      </c>
      <c r="BD435" s="32">
        <f t="shared" si="412"/>
        <v>-34.8235745210121</v>
      </c>
      <c r="BE435" s="31">
        <f t="shared" si="413"/>
        <v>91.9203825041647</v>
      </c>
      <c r="BF435" s="30" t="str">
        <f t="shared" si="414"/>
        <v>-0,00677609013353306-0,0120047685432463i</v>
      </c>
      <c r="BG435" s="68">
        <f t="shared" si="415"/>
        <v>-37.2117813954861</v>
      </c>
      <c r="BH435" s="31">
        <f t="shared" si="416"/>
        <v>-119.442550058951</v>
      </c>
      <c r="BI435" s="30" t="str">
        <f t="shared" si="423"/>
        <v>0,0114704073974697-0,0144327051227562i</v>
      </c>
      <c r="BJ435" s="68">
        <f t="shared" si="417"/>
        <v>-34.6868305004139</v>
      </c>
      <c r="BK435" s="31">
        <f t="shared" si="424"/>
        <v>-51.5240419139768</v>
      </c>
      <c r="BL435" s="32">
        <f t="shared" si="418"/>
        <v>-37.2117813954861</v>
      </c>
      <c r="BM435" s="31">
        <f t="shared" si="419"/>
        <v>-119.442550058951</v>
      </c>
      <c r="BO435">
        <f t="shared" si="420"/>
        <v>0</v>
      </c>
      <c r="BP435">
        <f t="shared" si="421"/>
        <v>0</v>
      </c>
    </row>
    <row r="436" spans="14:68">
      <c r="N436" s="7">
        <v>18</v>
      </c>
      <c r="O436" s="18">
        <f t="shared" si="422"/>
        <v>151356.124843621</v>
      </c>
      <c r="P436" s="86" t="str">
        <f t="shared" si="372"/>
        <v>15</v>
      </c>
      <c r="Q436" s="4" t="str">
        <f t="shared" si="373"/>
        <v>1+277,374585765981i</v>
      </c>
      <c r="R436" s="4">
        <f t="shared" si="384"/>
        <v>277.376388376606</v>
      </c>
      <c r="S436" s="4">
        <f t="shared" si="385"/>
        <v>1.56719110945062</v>
      </c>
      <c r="T436" s="4" t="str">
        <f t="shared" si="374"/>
        <v>1+0,190199715953816i</v>
      </c>
      <c r="U436" s="4">
        <f t="shared" si="386"/>
        <v>1.01792727242614</v>
      </c>
      <c r="V436" s="4">
        <f t="shared" si="387"/>
        <v>0.187954696863204</v>
      </c>
      <c r="W436" t="str">
        <f t="shared" si="375"/>
        <v>1-16,6424751459589i</v>
      </c>
      <c r="X436" s="4">
        <f t="shared" si="388"/>
        <v>16.672491684924</v>
      </c>
      <c r="Y436" s="4">
        <f t="shared" si="389"/>
        <v>-1.51078126891071</v>
      </c>
      <c r="Z436" t="str">
        <f t="shared" si="376"/>
        <v>0,83709385580318+0,88307010978557i</v>
      </c>
      <c r="AA436" s="4">
        <f t="shared" si="390"/>
        <v>1.21677398978616</v>
      </c>
      <c r="AB436" s="4">
        <f t="shared" si="391"/>
        <v>0.812119633830355</v>
      </c>
      <c r="AC436" s="67" t="str">
        <f t="shared" si="392"/>
        <v>-0,638844145080727+0,401007928092461i</v>
      </c>
      <c r="AD436" s="68">
        <f t="shared" si="393"/>
        <v>-2.44941775644202</v>
      </c>
      <c r="AE436" s="31">
        <f t="shared" si="394"/>
        <v>147.883156653785</v>
      </c>
      <c r="AF436" s="32" t="str">
        <f t="shared" si="395"/>
        <v>75,4669735059805</v>
      </c>
      <c r="AG436" s="32" t="str">
        <f t="shared" si="377"/>
        <v>1+178,312233706702i</v>
      </c>
      <c r="AH436" s="32">
        <f t="shared" si="396"/>
        <v>178.315037754738</v>
      </c>
      <c r="AI436" s="32">
        <f t="shared" si="397"/>
        <v>1.56518824542176</v>
      </c>
      <c r="AJ436" s="32" t="str">
        <f t="shared" si="378"/>
        <v>1+0,190199715953816i</v>
      </c>
      <c r="AK436" s="32">
        <f t="shared" si="398"/>
        <v>1.01792727242614</v>
      </c>
      <c r="AL436" s="32">
        <f t="shared" si="399"/>
        <v>0.187954696863204</v>
      </c>
      <c r="AM436" s="32" t="str">
        <f t="shared" si="379"/>
        <v>1-2,12649747086941i</v>
      </c>
      <c r="AN436" s="32">
        <f t="shared" si="400"/>
        <v>2.34989180466123</v>
      </c>
      <c r="AO436" s="32">
        <f t="shared" si="401"/>
        <v>-1.13122508356371</v>
      </c>
      <c r="AP436" s="30" t="str">
        <f t="shared" si="402"/>
        <v>-0,8161388758433-0,59898540340939i</v>
      </c>
      <c r="AQ436" s="32">
        <f t="shared" si="403"/>
        <v>0.106671611178526</v>
      </c>
      <c r="AR436" s="31">
        <f t="shared" si="404"/>
        <v>-143.724092703766</v>
      </c>
      <c r="AS436" t="str">
        <f t="shared" si="380"/>
        <v>-0,000338461538461538</v>
      </c>
      <c r="AT436" t="str">
        <f t="shared" si="381"/>
        <v>0,166476105382896i</v>
      </c>
      <c r="AU436">
        <f t="shared" si="405"/>
        <v>0.166476105382896</v>
      </c>
      <c r="AV436">
        <f t="shared" si="406"/>
        <v>1.5707963267949</v>
      </c>
      <c r="AW436" t="str">
        <f t="shared" si="382"/>
        <v>1+27,0184556116106i</v>
      </c>
      <c r="AX436">
        <f t="shared" si="407"/>
        <v>27.03695514729</v>
      </c>
      <c r="AY436">
        <f t="shared" si="408"/>
        <v>1.53380147533509</v>
      </c>
      <c r="AZ436" t="str">
        <f t="shared" si="383"/>
        <v>1+235,847647782731i</v>
      </c>
      <c r="BA436">
        <f t="shared" si="409"/>
        <v>235.849767785866</v>
      </c>
      <c r="BB436">
        <f t="shared" si="410"/>
        <v>1.56655632687605</v>
      </c>
      <c r="BC436" s="30" t="str">
        <f t="shared" si="411"/>
        <v>-0,000580808634715478+0,0177256461204621i</v>
      </c>
      <c r="BD436" s="32">
        <f t="shared" si="412"/>
        <v>-35.0232982129755</v>
      </c>
      <c r="BE436" s="31">
        <f t="shared" si="413"/>
        <v>91.8767147518743</v>
      </c>
      <c r="BF436" s="30" t="str">
        <f t="shared" si="414"/>
        <v>-0,00673707842916636-0,0115568341090556i</v>
      </c>
      <c r="BG436" s="68">
        <f t="shared" si="415"/>
        <v>-37.4727159694175</v>
      </c>
      <c r="BH436" s="31">
        <f t="shared" si="416"/>
        <v>-120.240128594341</v>
      </c>
      <c r="BI436" s="30" t="str">
        <f t="shared" si="423"/>
        <v>0,0110914237983739-0,0141186930039814i</v>
      </c>
      <c r="BJ436" s="68">
        <f t="shared" si="417"/>
        <v>-34.916626601797</v>
      </c>
      <c r="BK436" s="31">
        <f t="shared" si="424"/>
        <v>-51.8473779518912</v>
      </c>
      <c r="BL436" s="32">
        <f t="shared" si="418"/>
        <v>-37.4727159694175</v>
      </c>
      <c r="BM436" s="31">
        <f t="shared" si="419"/>
        <v>-120.240128594341</v>
      </c>
      <c r="BO436">
        <f t="shared" si="420"/>
        <v>0</v>
      </c>
      <c r="BP436">
        <f t="shared" si="421"/>
        <v>0</v>
      </c>
    </row>
    <row r="437" spans="14:68">
      <c r="N437" s="7">
        <v>19</v>
      </c>
      <c r="O437" s="18">
        <f t="shared" si="422"/>
        <v>154881.661891248</v>
      </c>
      <c r="P437" s="86" t="str">
        <f t="shared" si="372"/>
        <v>15</v>
      </c>
      <c r="Q437" s="4" t="str">
        <f t="shared" si="373"/>
        <v>1+283,835469851106i</v>
      </c>
      <c r="R437" s="4">
        <f t="shared" si="384"/>
        <v>283.837231429561</v>
      </c>
      <c r="S437" s="4">
        <f t="shared" si="385"/>
        <v>1.56727317352943</v>
      </c>
      <c r="T437" s="4" t="str">
        <f t="shared" si="374"/>
        <v>1+0,19463003646933i</v>
      </c>
      <c r="U437" s="4">
        <f t="shared" si="386"/>
        <v>1.01876437466965</v>
      </c>
      <c r="V437" s="4">
        <f t="shared" si="387"/>
        <v>0.192226841700368</v>
      </c>
      <c r="W437" t="str">
        <f t="shared" si="375"/>
        <v>1-17,0301281910664i</v>
      </c>
      <c r="X437" s="4">
        <f t="shared" si="388"/>
        <v>17.0594626587168</v>
      </c>
      <c r="Y437" s="4">
        <f t="shared" si="389"/>
        <v>-1.51214421123196</v>
      </c>
      <c r="Z437" t="str">
        <f t="shared" si="376"/>
        <v>0,829416325758613+0,903639455036171i</v>
      </c>
      <c r="AA437" s="4">
        <f t="shared" si="390"/>
        <v>1.22657886258201</v>
      </c>
      <c r="AB437" s="4">
        <f t="shared" si="391"/>
        <v>0.828199900797326</v>
      </c>
      <c r="AC437" s="67" t="str">
        <f t="shared" si="392"/>
        <v>-0,628875849722111+0,406467446548705i</v>
      </c>
      <c r="AD437" s="68">
        <f t="shared" si="393"/>
        <v>-2.51268964088447</v>
      </c>
      <c r="AE437" s="31">
        <f t="shared" si="394"/>
        <v>147.123808323679</v>
      </c>
      <c r="AF437" s="32" t="str">
        <f t="shared" si="395"/>
        <v>75,4669735059805</v>
      </c>
      <c r="AG437" s="32" t="str">
        <f t="shared" si="377"/>
        <v>1+182,465659189997i</v>
      </c>
      <c r="AH437" s="32">
        <f t="shared" si="396"/>
        <v>182.468399411076</v>
      </c>
      <c r="AI437" s="32">
        <f t="shared" si="397"/>
        <v>1.56531589835307</v>
      </c>
      <c r="AJ437" s="32" t="str">
        <f t="shared" si="378"/>
        <v>1+0,19463003646933i</v>
      </c>
      <c r="AK437" s="32">
        <f t="shared" si="398"/>
        <v>1.01876437466965</v>
      </c>
      <c r="AL437" s="32">
        <f t="shared" si="399"/>
        <v>0.192226841700368</v>
      </c>
      <c r="AM437" s="32" t="str">
        <f t="shared" si="379"/>
        <v>1-2,17602996004342i</v>
      </c>
      <c r="AN437" s="32">
        <f t="shared" si="400"/>
        <v>2.39480821507831</v>
      </c>
      <c r="AO437" s="32">
        <f t="shared" si="401"/>
        <v>-1.14002699825672</v>
      </c>
      <c r="AP437" s="30" t="str">
        <f t="shared" si="402"/>
        <v>-0,81624685430579-0,593235204450613i</v>
      </c>
      <c r="AQ437" s="32">
        <f t="shared" si="403"/>
        <v>0.0782752001462449</v>
      </c>
      <c r="AR437" s="31">
        <f t="shared" si="404"/>
        <v>-143.990943372878</v>
      </c>
      <c r="AS437" t="str">
        <f t="shared" si="380"/>
        <v>-0,000338461538461538</v>
      </c>
      <c r="AT437" t="str">
        <f t="shared" si="381"/>
        <v>0,17035383202051i</v>
      </c>
      <c r="AU437">
        <f t="shared" si="405"/>
        <v>0.17035383202051</v>
      </c>
      <c r="AV437">
        <f t="shared" si="406"/>
        <v>1.5707963267949</v>
      </c>
      <c r="AW437" t="str">
        <f t="shared" si="382"/>
        <v>1+27,6477962896098i</v>
      </c>
      <c r="AX437">
        <f t="shared" si="407"/>
        <v>27.6658750028218</v>
      </c>
      <c r="AY437">
        <f t="shared" si="408"/>
        <v>1.53464283882807</v>
      </c>
      <c r="AZ437" t="str">
        <f t="shared" si="383"/>
        <v>1+241,341245221969i</v>
      </c>
      <c r="BA437">
        <f t="shared" si="409"/>
        <v>241.343316968361</v>
      </c>
      <c r="BB437">
        <f t="shared" si="410"/>
        <v>1.56665283993982</v>
      </c>
      <c r="BC437" s="30" t="str">
        <f t="shared" si="411"/>
        <v>-0,000554702093006897+0,0173231054083873i</v>
      </c>
      <c r="BD437" s="32">
        <f t="shared" si="412"/>
        <v>-35.2230343240007</v>
      </c>
      <c r="BE437" s="31">
        <f t="shared" si="413"/>
        <v>91.8340379659124</v>
      </c>
      <c r="BF437" s="30" t="str">
        <f t="shared" si="414"/>
        <v>-0,0066924396715589-0,011119550976865i</v>
      </c>
      <c r="BG437" s="68">
        <f t="shared" si="415"/>
        <v>-37.7357239648852</v>
      </c>
      <c r="BH437" s="31">
        <f t="shared" si="416"/>
        <v>-121.042153710408</v>
      </c>
      <c r="BI437" s="30" t="str">
        <f t="shared" si="423"/>
        <v>0,0107294498171579-0,0138108614868496i</v>
      </c>
      <c r="BJ437" s="68">
        <f t="shared" si="417"/>
        <v>-35.1447591238545</v>
      </c>
      <c r="BK437" s="31">
        <f t="shared" si="424"/>
        <v>-52.156905406965</v>
      </c>
      <c r="BL437" s="32">
        <f t="shared" si="418"/>
        <v>-37.7357239648852</v>
      </c>
      <c r="BM437" s="31">
        <f t="shared" si="419"/>
        <v>-121.042153710408</v>
      </c>
      <c r="BO437">
        <f t="shared" si="420"/>
        <v>0</v>
      </c>
      <c r="BP437">
        <f t="shared" si="421"/>
        <v>0</v>
      </c>
    </row>
    <row r="438" spans="14:68">
      <c r="N438" s="7">
        <v>20</v>
      </c>
      <c r="O438" s="18">
        <f t="shared" si="422"/>
        <v>158489.319246112</v>
      </c>
      <c r="P438" s="86" t="str">
        <f t="shared" si="372"/>
        <v>15</v>
      </c>
      <c r="Q438" s="4" t="str">
        <f t="shared" si="373"/>
        <v>1+290,446847259352i</v>
      </c>
      <c r="R438" s="4">
        <f t="shared" si="384"/>
        <v>290.448568739626</v>
      </c>
      <c r="S438" s="4">
        <f t="shared" si="385"/>
        <v>1.56735336964761</v>
      </c>
      <c r="T438" s="4" t="str">
        <f t="shared" si="374"/>
        <v>1+0,199163552406413i</v>
      </c>
      <c r="U438" s="4">
        <f t="shared" si="386"/>
        <v>1.01964019173782</v>
      </c>
      <c r="V438" s="4">
        <f t="shared" si="387"/>
        <v>0.196591154098126</v>
      </c>
      <c r="W438" t="str">
        <f t="shared" si="375"/>
        <v>1-17,4268108355611i</v>
      </c>
      <c r="X438" s="4">
        <f t="shared" si="388"/>
        <v>17.455478678582</v>
      </c>
      <c r="Y438" s="4">
        <f t="shared" si="389"/>
        <v>-1.51347634003236</v>
      </c>
      <c r="Z438" t="str">
        <f t="shared" si="376"/>
        <v>0,821376964870429+0,924687921886913i</v>
      </c>
      <c r="AA438" s="4">
        <f t="shared" si="390"/>
        <v>1.23681359602136</v>
      </c>
      <c r="AB438" s="4">
        <f t="shared" si="391"/>
        <v>0.844497141959683</v>
      </c>
      <c r="AC438" s="67" t="str">
        <f t="shared" si="392"/>
        <v>-0,61872076457123+0,411712754388896i</v>
      </c>
      <c r="AD438" s="68">
        <f t="shared" si="393"/>
        <v>-2.57807047009381</v>
      </c>
      <c r="AE438" s="31">
        <f t="shared" si="394"/>
        <v>146.359181611102</v>
      </c>
      <c r="AF438" s="32" t="str">
        <f t="shared" si="395"/>
        <v>75,4669735059805</v>
      </c>
      <c r="AG438" s="32" t="str">
        <f t="shared" si="377"/>
        <v>1+186,715830381012i</v>
      </c>
      <c r="AH438" s="32">
        <f t="shared" si="396"/>
        <v>186.71850822795</v>
      </c>
      <c r="AI438" s="32">
        <f t="shared" si="397"/>
        <v>1.5654406457215</v>
      </c>
      <c r="AJ438" s="32" t="str">
        <f t="shared" si="378"/>
        <v>1+0,199163552406413i</v>
      </c>
      <c r="AK438" s="32">
        <f t="shared" si="398"/>
        <v>1.01964019173782</v>
      </c>
      <c r="AL438" s="32">
        <f t="shared" si="399"/>
        <v>0.196591154098126</v>
      </c>
      <c r="AM438" s="32" t="str">
        <f t="shared" si="379"/>
        <v>1-2,2267162091054i</v>
      </c>
      <c r="AN438" s="32">
        <f t="shared" si="400"/>
        <v>2.44095577098249</v>
      </c>
      <c r="AO438" s="32">
        <f t="shared" si="401"/>
        <v>-1.14869791359447</v>
      </c>
      <c r="AP438" s="30" t="str">
        <f t="shared" si="402"/>
        <v>-0,816349973222277-0,587799493368589i</v>
      </c>
      <c r="AQ438" s="32">
        <f t="shared" si="403"/>
        <v>0.0515284173569285</v>
      </c>
      <c r="AR438" s="31">
        <f t="shared" si="404"/>
        <v>-144.244841043094</v>
      </c>
      <c r="AS438" t="str">
        <f t="shared" si="380"/>
        <v>-0,000338461538461538</v>
      </c>
      <c r="AT438" t="str">
        <f t="shared" si="381"/>
        <v>0,174321882514761i</v>
      </c>
      <c r="AU438">
        <f t="shared" si="405"/>
        <v>0.174321882514761</v>
      </c>
      <c r="AV438">
        <f t="shared" si="406"/>
        <v>1.5707963267949</v>
      </c>
      <c r="AW438" t="str">
        <f t="shared" si="382"/>
        <v>1+28,2917961951635i</v>
      </c>
      <c r="AX438">
        <f t="shared" si="407"/>
        <v>28.3094636464322</v>
      </c>
      <c r="AY438">
        <f t="shared" si="408"/>
        <v>1.53546510003415</v>
      </c>
      <c r="AZ438" t="str">
        <f t="shared" si="383"/>
        <v>1+246,962804983952i</v>
      </c>
      <c r="BA438">
        <f t="shared" si="409"/>
        <v>246.964829572029</v>
      </c>
      <c r="BB438">
        <f t="shared" si="410"/>
        <v>1.56674715617263</v>
      </c>
      <c r="BC438" s="30" t="str">
        <f t="shared" si="411"/>
        <v>-0,000529767537888264+0,0169296647227909i</v>
      </c>
      <c r="BD438" s="32">
        <f t="shared" si="412"/>
        <v>-35.4227822966183</v>
      </c>
      <c r="BE438" s="31">
        <f t="shared" si="413"/>
        <v>91.7923297912263</v>
      </c>
      <c r="BF438" s="30" t="str">
        <f t="shared" si="414"/>
        <v>-0,00664238071781352-0,0106928471534296i</v>
      </c>
      <c r="BG438" s="68">
        <f t="shared" si="415"/>
        <v>-38.0008527667121</v>
      </c>
      <c r="BH438" s="31">
        <f t="shared" si="416"/>
        <v>-121.848488597672</v>
      </c>
      <c r="BI438" s="30" t="str">
        <f t="shared" si="423"/>
        <v>0,0103837240623257-0,0135091342527386i</v>
      </c>
      <c r="BJ438" s="68">
        <f t="shared" si="417"/>
        <v>-35.3712538792614</v>
      </c>
      <c r="BK438" s="31">
        <f t="shared" si="424"/>
        <v>-52.4525112518677</v>
      </c>
      <c r="BL438" s="32">
        <f t="shared" si="418"/>
        <v>-38.0008527667121</v>
      </c>
      <c r="BM438" s="31">
        <f t="shared" si="419"/>
        <v>-121.848488597672</v>
      </c>
      <c r="BO438">
        <f t="shared" si="420"/>
        <v>0</v>
      </c>
      <c r="BP438">
        <f t="shared" si="421"/>
        <v>0</v>
      </c>
    </row>
    <row r="439" spans="14:68">
      <c r="N439" s="7">
        <v>21</v>
      </c>
      <c r="O439" s="18">
        <f t="shared" si="422"/>
        <v>162181.009735893</v>
      </c>
      <c r="P439" s="86" t="str">
        <f t="shared" si="372"/>
        <v>15</v>
      </c>
      <c r="Q439" s="4" t="str">
        <f t="shared" si="373"/>
        <v>1+297,212223430532i</v>
      </c>
      <c r="R439" s="4">
        <f t="shared" si="384"/>
        <v>297.213905725355</v>
      </c>
      <c r="S439" s="4">
        <f t="shared" si="385"/>
        <v>1.56743174032206</v>
      </c>
      <c r="T439" s="4" t="str">
        <f t="shared" si="374"/>
        <v>1+0,203802667495222i</v>
      </c>
      <c r="U439" s="4">
        <f t="shared" si="386"/>
        <v>1.02055647922012</v>
      </c>
      <c r="V439" s="4">
        <f t="shared" si="387"/>
        <v>0.201049282729767</v>
      </c>
      <c r="W439" t="str">
        <f t="shared" si="375"/>
        <v>1-17,8327334058319i</v>
      </c>
      <c r="X439" s="4">
        <f t="shared" si="388"/>
        <v>17.8607497245629</v>
      </c>
      <c r="Y439" s="4">
        <f t="shared" si="389"/>
        <v>-1.51477834270193</v>
      </c>
      <c r="Z439" t="str">
        <f t="shared" si="376"/>
        <v>0,812958720576329+0,946226670513528i</v>
      </c>
      <c r="AA439" s="4">
        <f t="shared" si="390"/>
        <v>1.24749620975465</v>
      </c>
      <c r="AB439" s="4">
        <f t="shared" si="391"/>
        <v>0.861009232006798</v>
      </c>
      <c r="AC439" s="67" t="str">
        <f t="shared" si="392"/>
        <v>-0,60838508651898+0,416734512633144i</v>
      </c>
      <c r="AD439" s="68">
        <f t="shared" si="393"/>
        <v>-2.64560742826453</v>
      </c>
      <c r="AE439" s="31">
        <f t="shared" si="394"/>
        <v>145.589450928817</v>
      </c>
      <c r="AF439" s="32" t="str">
        <f t="shared" si="395"/>
        <v>75,4669735059805</v>
      </c>
      <c r="AG439" s="32" t="str">
        <f t="shared" si="377"/>
        <v>1+191,065000776771i</v>
      </c>
      <c r="AH439" s="32">
        <f t="shared" si="396"/>
        <v>191.067617669315</v>
      </c>
      <c r="AI439" s="32">
        <f t="shared" si="397"/>
        <v>1.56556255365422</v>
      </c>
      <c r="AJ439" s="32" t="str">
        <f t="shared" si="378"/>
        <v>1+0,203802667495222i</v>
      </c>
      <c r="AK439" s="32">
        <f t="shared" si="398"/>
        <v>1.02055647922012</v>
      </c>
      <c r="AL439" s="32">
        <f t="shared" si="399"/>
        <v>0.201049282729767</v>
      </c>
      <c r="AM439" s="32" t="str">
        <f t="shared" si="379"/>
        <v>1-2,27858309257552i</v>
      </c>
      <c r="AN439" s="32">
        <f t="shared" si="400"/>
        <v>2.48836108910484</v>
      </c>
      <c r="AO439" s="32">
        <f t="shared" si="401"/>
        <v>-1.15723721060999</v>
      </c>
      <c r="AP439" s="30" t="str">
        <f t="shared" si="402"/>
        <v>-0,816448451283255-0,582675391633428i</v>
      </c>
      <c r="AQ439" s="32">
        <f t="shared" si="403"/>
        <v>0.0264058163176139</v>
      </c>
      <c r="AR439" s="31">
        <f t="shared" si="404"/>
        <v>-144.485659577007</v>
      </c>
      <c r="AS439" t="str">
        <f t="shared" si="380"/>
        <v>-0,000338461538461538</v>
      </c>
      <c r="AT439" t="str">
        <f t="shared" si="381"/>
        <v>0,178382360778544i</v>
      </c>
      <c r="AU439">
        <f t="shared" si="405"/>
        <v>0.178382360778544</v>
      </c>
      <c r="AV439">
        <f t="shared" si="406"/>
        <v>1.5707963267949</v>
      </c>
      <c r="AW439" t="str">
        <f t="shared" si="382"/>
        <v>1+28,9507967855461i</v>
      </c>
      <c r="AX439">
        <f t="shared" si="407"/>
        <v>28.968062319009</v>
      </c>
      <c r="AY439">
        <f t="shared" si="408"/>
        <v>1.53626869047704</v>
      </c>
      <c r="AZ439" t="str">
        <f t="shared" si="383"/>
        <v>1+252,715307694075i</v>
      </c>
      <c r="BA439">
        <f t="shared" si="409"/>
        <v>252.717286197266</v>
      </c>
      <c r="BB439">
        <f t="shared" si="410"/>
        <v>1.56683932557549</v>
      </c>
      <c r="BC439" s="30" t="str">
        <f t="shared" si="411"/>
        <v>-0,000505952484876076+0,0165451211098203i</v>
      </c>
      <c r="BD439" s="32">
        <f t="shared" si="412"/>
        <v>-35.6225415983194</v>
      </c>
      <c r="BE439" s="31">
        <f t="shared" si="413"/>
        <v>91.7515683681755</v>
      </c>
      <c r="BF439" s="30" t="str">
        <f t="shared" si="414"/>
        <v>-0,00658710903587148-0,0102766528000654i</v>
      </c>
      <c r="BG439" s="68">
        <f t="shared" si="415"/>
        <v>-38.268149026584</v>
      </c>
      <c r="BH439" s="31">
        <f t="shared" si="416"/>
        <v>-122.658980703008</v>
      </c>
      <c r="BI439" s="30" t="str">
        <f t="shared" si="423"/>
        <v>0,010053519044987-0,0132134324441336i</v>
      </c>
      <c r="BJ439" s="68">
        <f t="shared" si="417"/>
        <v>-35.5961357820018</v>
      </c>
      <c r="BK439" s="31">
        <f t="shared" si="424"/>
        <v>-52.7340912088312</v>
      </c>
      <c r="BL439" s="32">
        <f t="shared" si="418"/>
        <v>-38.268149026584</v>
      </c>
      <c r="BM439" s="31">
        <f t="shared" si="419"/>
        <v>-122.658980703008</v>
      </c>
      <c r="BO439">
        <f t="shared" si="420"/>
        <v>0</v>
      </c>
      <c r="BP439">
        <f t="shared" si="421"/>
        <v>0</v>
      </c>
    </row>
    <row r="440" spans="14:68">
      <c r="N440" s="7">
        <v>22</v>
      </c>
      <c r="O440" s="18">
        <f t="shared" si="422"/>
        <v>165958.690743756</v>
      </c>
      <c r="P440" s="86" t="str">
        <f t="shared" si="372"/>
        <v>15</v>
      </c>
      <c r="Q440" s="4" t="str">
        <f t="shared" si="373"/>
        <v>1+304,135185456646i</v>
      </c>
      <c r="R440" s="4">
        <f t="shared" si="384"/>
        <v>304.136829457974</v>
      </c>
      <c r="S440" s="4">
        <f t="shared" si="385"/>
        <v>1.5675083271021</v>
      </c>
      <c r="T440" s="4" t="str">
        <f t="shared" si="374"/>
        <v>1+0,208549841455986i</v>
      </c>
      <c r="U440" s="4">
        <f t="shared" si="386"/>
        <v>1.02151506908675</v>
      </c>
      <c r="V440" s="4">
        <f t="shared" si="387"/>
        <v>0.2056028821781</v>
      </c>
      <c r="W440" t="str">
        <f t="shared" si="375"/>
        <v>1-18,2481111273988i</v>
      </c>
      <c r="X440" s="4">
        <f t="shared" si="388"/>
        <v>18.2754906833687</v>
      </c>
      <c r="Y440" s="4">
        <f t="shared" si="389"/>
        <v>-1.51605089191236</v>
      </c>
      <c r="Z440" t="str">
        <f t="shared" si="376"/>
        <v>0,804143736651507+0,968267121045647i</v>
      </c>
      <c r="AA440" s="4">
        <f t="shared" si="390"/>
        <v>1.25864544924052</v>
      </c>
      <c r="AB440" s="4">
        <f t="shared" si="391"/>
        <v>0.877733801493128</v>
      </c>
      <c r="AC440" s="67" t="str">
        <f t="shared" si="392"/>
        <v>-0,597875666546869+0,421523550627296i</v>
      </c>
      <c r="AD440" s="68">
        <f t="shared" si="393"/>
        <v>-2.71534682439554</v>
      </c>
      <c r="AE440" s="31">
        <f t="shared" si="394"/>
        <v>144.814805914816</v>
      </c>
      <c r="AF440" s="32" t="str">
        <f t="shared" si="395"/>
        <v>75,4669735059805</v>
      </c>
      <c r="AG440" s="32" t="str">
        <f t="shared" si="377"/>
        <v>1+195,515476364987i</v>
      </c>
      <c r="AH440" s="32">
        <f t="shared" si="396"/>
        <v>195.518033690572</v>
      </c>
      <c r="AI440" s="32">
        <f t="shared" si="397"/>
        <v>1.56568168677392</v>
      </c>
      <c r="AJ440" s="32" t="str">
        <f t="shared" si="378"/>
        <v>1+0,208549841455986i</v>
      </c>
      <c r="AK440" s="32">
        <f t="shared" si="398"/>
        <v>1.02151506908675</v>
      </c>
      <c r="AL440" s="32">
        <f t="shared" si="399"/>
        <v>0.2056028821781</v>
      </c>
      <c r="AM440" s="32" t="str">
        <f t="shared" si="379"/>
        <v>1-2,33165811096194i</v>
      </c>
      <c r="AN440" s="32">
        <f t="shared" si="400"/>
        <v>2.53705134879344</v>
      </c>
      <c r="AO440" s="32">
        <f t="shared" si="401"/>
        <v>-1.16564443445037</v>
      </c>
      <c r="AP440" s="30" t="str">
        <f t="shared" si="402"/>
        <v>-0,816542497338724-0,577860185697317i</v>
      </c>
      <c r="AQ440" s="32">
        <f t="shared" si="403"/>
        <v>0.00288295010916601</v>
      </c>
      <c r="AR440" s="31">
        <f t="shared" si="404"/>
        <v>-144.713281815458</v>
      </c>
      <c r="AS440" t="str">
        <f t="shared" si="380"/>
        <v>-0,000338461538461538</v>
      </c>
      <c r="AT440" t="str">
        <f t="shared" si="381"/>
        <v>0,182537419731181i</v>
      </c>
      <c r="AU440">
        <f t="shared" si="405"/>
        <v>0.182537419731181</v>
      </c>
      <c r="AV440">
        <f t="shared" si="406"/>
        <v>1.5707963267949</v>
      </c>
      <c r="AW440" t="str">
        <f t="shared" si="382"/>
        <v>1+29,6251474715936i</v>
      </c>
      <c r="AX440">
        <f t="shared" si="407"/>
        <v>29.6420202198445</v>
      </c>
      <c r="AY440">
        <f t="shared" si="408"/>
        <v>1.53705403207727</v>
      </c>
      <c r="AZ440" t="str">
        <f t="shared" si="383"/>
        <v>1+258,601803405423i</v>
      </c>
      <c r="BA440">
        <f t="shared" si="409"/>
        <v>258.603736872724</v>
      </c>
      <c r="BB440">
        <f t="shared" si="410"/>
        <v>1.56692939701156</v>
      </c>
      <c r="BC440" s="30" t="str">
        <f t="shared" si="411"/>
        <v>-0,000483206788545867+0,0161692759571341i</v>
      </c>
      <c r="BD440" s="32">
        <f t="shared" si="412"/>
        <v>-35.822311720443</v>
      </c>
      <c r="BE440" s="31">
        <f t="shared" si="413"/>
        <v>91.7117323221481</v>
      </c>
      <c r="BF440" s="30" t="str">
        <f t="shared" si="414"/>
        <v>-0,0065268330317419-0,00987089968164688i</v>
      </c>
      <c r="BG440" s="68">
        <f t="shared" si="415"/>
        <v>-38.5376585448385</v>
      </c>
      <c r="BH440" s="31">
        <f t="shared" si="416"/>
        <v>-123.473461763036</v>
      </c>
      <c r="BI440" s="30" t="str">
        <f t="shared" si="423"/>
        <v>0,00973813968503094-0,0129236750056379i</v>
      </c>
      <c r="BJ440" s="68">
        <f t="shared" si="417"/>
        <v>-35.8194287703339</v>
      </c>
      <c r="BK440" s="31">
        <f t="shared" si="424"/>
        <v>-53.0015494933101</v>
      </c>
      <c r="BL440" s="32">
        <f t="shared" si="418"/>
        <v>-38.5376585448385</v>
      </c>
      <c r="BM440" s="31">
        <f t="shared" si="419"/>
        <v>-123.473461763036</v>
      </c>
      <c r="BO440">
        <f t="shared" si="420"/>
        <v>0</v>
      </c>
      <c r="BP440">
        <f t="shared" si="421"/>
        <v>0</v>
      </c>
    </row>
    <row r="441" spans="14:68">
      <c r="N441" s="7">
        <v>23</v>
      </c>
      <c r="O441" s="18">
        <f t="shared" si="422"/>
        <v>169824.365246175</v>
      </c>
      <c r="P441" s="86" t="str">
        <f t="shared" si="372"/>
        <v>15</v>
      </c>
      <c r="Q441" s="4" t="str">
        <f t="shared" si="373"/>
        <v>1+311,219403983792i</v>
      </c>
      <c r="R441" s="4">
        <f t="shared" si="384"/>
        <v>311.221010563276</v>
      </c>
      <c r="S441" s="4">
        <f t="shared" si="385"/>
        <v>1.56758317059146</v>
      </c>
      <c r="T441" s="4" t="str">
        <f t="shared" si="374"/>
        <v>1+0,213407591303172i</v>
      </c>
      <c r="U441" s="4">
        <f t="shared" si="386"/>
        <v>1.02251787271706</v>
      </c>
      <c r="V441" s="4">
        <f t="shared" si="387"/>
        <v>0.210253611105408</v>
      </c>
      <c r="W441" t="str">
        <f t="shared" si="375"/>
        <v>1-18,6731642390276i</v>
      </c>
      <c r="X441" s="4">
        <f t="shared" si="388"/>
        <v>18.6999214623404</v>
      </c>
      <c r="Y441" s="4">
        <f t="shared" si="389"/>
        <v>-1.51729464589082</v>
      </c>
      <c r="Z441" t="str">
        <f t="shared" si="376"/>
        <v>0,79491331533322+0,990820959621867i</v>
      </c>
      <c r="AA441" s="4">
        <f t="shared" si="390"/>
        <v>1.27028081655989</v>
      </c>
      <c r="AB441" s="4">
        <f t="shared" si="391"/>
        <v>0.894668235991377</v>
      </c>
      <c r="AC441" s="67" t="str">
        <f t="shared" si="392"/>
        <v>-0,587200008241585+0,426070915279824i</v>
      </c>
      <c r="AD441" s="68">
        <f t="shared" si="393"/>
        <v>-2.78733397348617</v>
      </c>
      <c r="AE441" s="31">
        <f t="shared" si="394"/>
        <v>144.035451359037</v>
      </c>
      <c r="AF441" s="32" t="str">
        <f t="shared" si="395"/>
        <v>75,4669735059805</v>
      </c>
      <c r="AG441" s="32" t="str">
        <f t="shared" si="377"/>
        <v>1+200,069616846724i</v>
      </c>
      <c r="AH441" s="32">
        <f t="shared" si="396"/>
        <v>200.072115961208</v>
      </c>
      <c r="AI441" s="32">
        <f t="shared" si="397"/>
        <v>1.56579810823302</v>
      </c>
      <c r="AJ441" s="32" t="str">
        <f t="shared" si="378"/>
        <v>1+0,213407591303172i</v>
      </c>
      <c r="AK441" s="32">
        <f t="shared" si="398"/>
        <v>1.02251787271706</v>
      </c>
      <c r="AL441" s="32">
        <f t="shared" si="399"/>
        <v>0.210253611105408</v>
      </c>
      <c r="AM441" s="32" t="str">
        <f t="shared" si="379"/>
        <v>1-2,38596940534193i</v>
      </c>
      <c r="AN441" s="32">
        <f t="shared" si="400"/>
        <v>2.58705431006535</v>
      </c>
      <c r="AO441" s="32">
        <f t="shared" si="401"/>
        <v>-1.17391928781113</v>
      </c>
      <c r="AP441" s="30" t="str">
        <f t="shared" si="402"/>
        <v>-0,816632310840914-0,573351325571583i</v>
      </c>
      <c r="AQ441" s="32">
        <f t="shared" si="403"/>
        <v>-0.0190635575070545</v>
      </c>
      <c r="AR441" s="31">
        <f t="shared" si="404"/>
        <v>-144.927599308177</v>
      </c>
      <c r="AS441" t="str">
        <f t="shared" si="380"/>
        <v>-0,000338461538461538</v>
      </c>
      <c r="AT441" t="str">
        <f t="shared" si="381"/>
        <v>0,186789262439928i</v>
      </c>
      <c r="AU441">
        <f t="shared" si="405"/>
        <v>0.186789262439928</v>
      </c>
      <c r="AV441">
        <f t="shared" si="406"/>
        <v>1.5707963267949</v>
      </c>
      <c r="AW441" t="str">
        <f t="shared" si="382"/>
        <v>1+30,3152058029655i</v>
      </c>
      <c r="AX441">
        <f t="shared" si="407"/>
        <v>30.3316946917932</v>
      </c>
      <c r="AY441">
        <f t="shared" si="408"/>
        <v>1.53782153735617</v>
      </c>
      <c r="AZ441" t="str">
        <f t="shared" si="383"/>
        <v>1+264,625413215933i</v>
      </c>
      <c r="BA441">
        <f t="shared" si="409"/>
        <v>264.627302672463</v>
      </c>
      <c r="BB441">
        <f t="shared" si="410"/>
        <v>1.56701741823206</v>
      </c>
      <c r="BC441" s="30" t="str">
        <f t="shared" si="411"/>
        <v>-0,000461482539284498+0,0158019349135142i</v>
      </c>
      <c r="BD441" s="32">
        <f t="shared" si="412"/>
        <v>-36.0220921771137</v>
      </c>
      <c r="BE441" s="31">
        <f t="shared" si="413"/>
        <v>91.6728007533552</v>
      </c>
      <c r="BF441" s="30" t="str">
        <f t="shared" si="414"/>
        <v>-0,006461762320922-0,00947552059934713i</v>
      </c>
      <c r="BG441" s="68">
        <f t="shared" si="415"/>
        <v>-38.8094261505999</v>
      </c>
      <c r="BH441" s="31">
        <f t="shared" si="416"/>
        <v>-124.291747887608</v>
      </c>
      <c r="BI441" s="30" t="str">
        <f t="shared" si="423"/>
        <v>0,00943692188172788-0,0126397789985539i</v>
      </c>
      <c r="BJ441" s="68">
        <f t="shared" si="417"/>
        <v>-36.0411557346208</v>
      </c>
      <c r="BK441" s="31">
        <f t="shared" si="424"/>
        <v>-53.2547985548221</v>
      </c>
      <c r="BL441" s="32">
        <f t="shared" si="418"/>
        <v>-38.8094261505999</v>
      </c>
      <c r="BM441" s="31">
        <f t="shared" si="419"/>
        <v>-124.291747887608</v>
      </c>
      <c r="BO441">
        <f t="shared" si="420"/>
        <v>0</v>
      </c>
      <c r="BP441">
        <f t="shared" si="421"/>
        <v>0</v>
      </c>
    </row>
    <row r="442" spans="14:68">
      <c r="N442" s="7">
        <v>24</v>
      </c>
      <c r="O442" s="18">
        <f t="shared" si="422"/>
        <v>173780.082874938</v>
      </c>
      <c r="P442" s="86" t="str">
        <f t="shared" si="372"/>
        <v>15</v>
      </c>
      <c r="Q442" s="4" t="str">
        <f t="shared" si="373"/>
        <v>1+318,468635158409i</v>
      </c>
      <c r="R442" s="4">
        <f t="shared" si="384"/>
        <v>318.470205167862</v>
      </c>
      <c r="S442" s="4">
        <f t="shared" si="385"/>
        <v>1.56765631046979</v>
      </c>
      <c r="T442" s="4" t="str">
        <f t="shared" si="374"/>
        <v>1+0,218378492680052i</v>
      </c>
      <c r="U442" s="4">
        <f t="shared" si="386"/>
        <v>1.02356688402137</v>
      </c>
      <c r="V442" s="4">
        <f t="shared" si="387"/>
        <v>0.215003130279178</v>
      </c>
      <c r="W442" t="str">
        <f t="shared" si="375"/>
        <v>1-19,1081181095046i</v>
      </c>
      <c r="X442" s="4">
        <f t="shared" si="388"/>
        <v>19.134267106079</v>
      </c>
      <c r="Y442" s="4">
        <f t="shared" si="389"/>
        <v>-1.51851024869145</v>
      </c>
      <c r="Z442" t="str">
        <f t="shared" si="376"/>
        <v>0,785247877660299+1,01390014458595i</v>
      </c>
      <c r="AA442" s="4">
        <f t="shared" si="390"/>
        <v>1.2824226029517</v>
      </c>
      <c r="AB442" s="4">
        <f t="shared" si="391"/>
        <v>0.911809676007502</v>
      </c>
      <c r="AC442" s="67" t="str">
        <f t="shared" si="392"/>
        <v>-0,576366262189176+0,430367921132901i</v>
      </c>
      <c r="AD442" s="68">
        <f t="shared" si="393"/>
        <v>-2.86161307661778</v>
      </c>
      <c r="AE442" s="31">
        <f t="shared" si="394"/>
        <v>143.251607078327</v>
      </c>
      <c r="AF442" s="32" t="str">
        <f t="shared" si="395"/>
        <v>75,4669735059805</v>
      </c>
      <c r="AG442" s="32" t="str">
        <f t="shared" si="377"/>
        <v>1+204,729836887549i</v>
      </c>
      <c r="AH442" s="32">
        <f t="shared" si="396"/>
        <v>204.732279115928</v>
      </c>
      <c r="AI442" s="32">
        <f t="shared" si="397"/>
        <v>1.56591187974711</v>
      </c>
      <c r="AJ442" s="32" t="str">
        <f t="shared" si="378"/>
        <v>1+0,218378492680052i</v>
      </c>
      <c r="AK442" s="32">
        <f t="shared" si="398"/>
        <v>1.02356688402137</v>
      </c>
      <c r="AL442" s="32">
        <f t="shared" si="399"/>
        <v>0.215003130279178</v>
      </c>
      <c r="AM442" s="32" t="str">
        <f t="shared" si="379"/>
        <v>1-2,44154577228268i</v>
      </c>
      <c r="AN442" s="32">
        <f t="shared" si="400"/>
        <v>2.63839833197177</v>
      </c>
      <c r="AO442" s="32">
        <f t="shared" si="401"/>
        <v>-1.18206162423229</v>
      </c>
      <c r="AP442" s="30" t="str">
        <f t="shared" si="402"/>
        <v>-0,816718082267048-0,569146423489455i</v>
      </c>
      <c r="AQ442" s="32">
        <f t="shared" si="403"/>
        <v>-0.0394559457707659</v>
      </c>
      <c r="AR442" s="31">
        <f t="shared" si="404"/>
        <v>-145.128512044697</v>
      </c>
      <c r="AS442" t="str">
        <f t="shared" si="380"/>
        <v>-0,000338461538461538</v>
      </c>
      <c r="AT442" t="str">
        <f t="shared" si="381"/>
        <v>0,191140143288069i</v>
      </c>
      <c r="AU442">
        <f t="shared" si="405"/>
        <v>0.191140143288069</v>
      </c>
      <c r="AV442">
        <f t="shared" si="406"/>
        <v>1.5707963267949</v>
      </c>
      <c r="AW442" t="str">
        <f t="shared" si="382"/>
        <v>1+31,0213376577236i</v>
      </c>
      <c r="AX442">
        <f t="shared" si="407"/>
        <v>31.0374514107473</v>
      </c>
      <c r="AY442">
        <f t="shared" si="408"/>
        <v>1.53857160963627</v>
      </c>
      <c r="AZ442" t="str">
        <f t="shared" si="383"/>
        <v>1+270,789330923264i</v>
      </c>
      <c r="BA442">
        <f t="shared" si="409"/>
        <v>270.791177370809</v>
      </c>
      <c r="BB442">
        <f t="shared" si="410"/>
        <v>1.56710343590155</v>
      </c>
      <c r="BC442" s="30" t="str">
        <f t="shared" si="411"/>
        <v>-0,000440733964512071+0,0154429078090947i</v>
      </c>
      <c r="BD442" s="32">
        <f t="shared" si="412"/>
        <v>-36.2218825042253</v>
      </c>
      <c r="BE442" s="31">
        <f t="shared" si="413"/>
        <v>91.6347532268013</v>
      </c>
      <c r="BF442" s="30" t="str">
        <f t="shared" si="414"/>
        <v>-0,00639210794230149-0,00909044881133967i</v>
      </c>
      <c r="BG442" s="68">
        <f t="shared" si="415"/>
        <v>-39.083495580843</v>
      </c>
      <c r="BH442" s="31">
        <f t="shared" si="416"/>
        <v>-125.113639694872</v>
      </c>
      <c r="BI442" s="30" t="str">
        <f t="shared" si="423"/>
        <v>0,00914923114610987-0,0123616598908583i</v>
      </c>
      <c r="BJ442" s="68">
        <f t="shared" si="417"/>
        <v>-36.261338449996</v>
      </c>
      <c r="BK442" s="31">
        <f t="shared" si="424"/>
        <v>-53.4937588178961</v>
      </c>
      <c r="BL442" s="32">
        <f t="shared" si="418"/>
        <v>-39.083495580843</v>
      </c>
      <c r="BM442" s="31">
        <f t="shared" si="419"/>
        <v>-125.113639694872</v>
      </c>
      <c r="BO442">
        <f t="shared" si="420"/>
        <v>0</v>
      </c>
      <c r="BP442">
        <f t="shared" si="421"/>
        <v>0</v>
      </c>
    </row>
    <row r="443" spans="14:68">
      <c r="N443" s="7">
        <v>25</v>
      </c>
      <c r="O443" s="18">
        <f t="shared" si="422"/>
        <v>177827.941003893</v>
      </c>
      <c r="P443" s="86" t="str">
        <f t="shared" si="372"/>
        <v>15</v>
      </c>
      <c r="Q443" s="4" t="str">
        <f t="shared" si="373"/>
        <v>1+325,886722618817i</v>
      </c>
      <c r="R443" s="4">
        <f t="shared" si="384"/>
        <v>325.888256890661</v>
      </c>
      <c r="S443" s="4">
        <f t="shared" si="385"/>
        <v>1.5677277855137</v>
      </c>
      <c r="T443" s="4" t="str">
        <f t="shared" si="374"/>
        <v>1+0,223465181224332i</v>
      </c>
      <c r="U443" s="4">
        <f t="shared" si="386"/>
        <v>1.02466418265675</v>
      </c>
      <c r="V443" s="4">
        <f t="shared" si="387"/>
        <v>0.219853100447023</v>
      </c>
      <c r="W443" t="str">
        <f t="shared" si="375"/>
        <v>1-19,5532033571291i</v>
      </c>
      <c r="X443" s="4">
        <f t="shared" si="388"/>
        <v>19.5787579157935</v>
      </c>
      <c r="Y443" s="4">
        <f t="shared" si="389"/>
        <v>-1.51969833046454</v>
      </c>
      <c r="Z443" t="str">
        <f t="shared" si="376"/>
        <v>0,775126921943578+1,03751691282725i</v>
      </c>
      <c r="AA443" s="4">
        <f t="shared" si="390"/>
        <v>1.29509192319476</v>
      </c>
      <c r="AB443" s="4">
        <f t="shared" si="391"/>
        <v>0.929155017670544</v>
      </c>
      <c r="AC443" s="67" t="str">
        <f t="shared" si="392"/>
        <v>-0,565383216080408+0,434406200883354i</v>
      </c>
      <c r="AD443" s="68">
        <f t="shared" si="393"/>
        <v>-2.93822710054152</v>
      </c>
      <c r="AE443" s="31">
        <f t="shared" si="394"/>
        <v>142.463507738533</v>
      </c>
      <c r="AF443" s="32" t="str">
        <f t="shared" si="395"/>
        <v>75,4669735059805</v>
      </c>
      <c r="AG443" s="32" t="str">
        <f t="shared" si="377"/>
        <v>1+209,498607397811i</v>
      </c>
      <c r="AH443" s="32">
        <f t="shared" si="396"/>
        <v>209.500994034926</v>
      </c>
      <c r="AI443" s="32">
        <f t="shared" si="397"/>
        <v>1.56602306162754</v>
      </c>
      <c r="AJ443" s="32" t="str">
        <f t="shared" si="378"/>
        <v>1+0,223465181224332i</v>
      </c>
      <c r="AK443" s="32">
        <f t="shared" si="398"/>
        <v>1.02466418265675</v>
      </c>
      <c r="AL443" s="32">
        <f t="shared" si="399"/>
        <v>0.219853100447023</v>
      </c>
      <c r="AM443" s="32" t="str">
        <f t="shared" si="379"/>
        <v>1-2,49841667910958i</v>
      </c>
      <c r="AN443" s="32">
        <f t="shared" si="400"/>
        <v>2.69111239127112</v>
      </c>
      <c r="AO443" s="32">
        <f t="shared" si="401"/>
        <v>-1.19007144129806</v>
      </c>
      <c r="AP443" s="30" t="str">
        <f t="shared" si="402"/>
        <v>-0,816799993523161-0,565243252653814i</v>
      </c>
      <c r="AQ443" s="32">
        <f t="shared" si="403"/>
        <v>-0.0583152553432448</v>
      </c>
      <c r="AR443" s="31">
        <f t="shared" si="404"/>
        <v>-145.315928188363</v>
      </c>
      <c r="AS443" t="str">
        <f t="shared" si="380"/>
        <v>-0,000338461538461538</v>
      </c>
      <c r="AT443" t="str">
        <f t="shared" si="381"/>
        <v>0,19559236917022i</v>
      </c>
      <c r="AU443">
        <f t="shared" si="405"/>
        <v>0.19559236917022</v>
      </c>
      <c r="AV443">
        <f t="shared" si="406"/>
        <v>1.5707963267949</v>
      </c>
      <c r="AW443" t="str">
        <f t="shared" si="382"/>
        <v>1+31,7439174363237i</v>
      </c>
      <c r="AX443">
        <f t="shared" si="407"/>
        <v>31.7596645795282</v>
      </c>
      <c r="AY443">
        <f t="shared" si="408"/>
        <v>1.5393046432379</v>
      </c>
      <c r="AZ443" t="str">
        <f t="shared" si="383"/>
        <v>1+277,096824718172i</v>
      </c>
      <c r="BA443">
        <f t="shared" si="409"/>
        <v>277.098629135716</v>
      </c>
      <c r="BB443">
        <f t="shared" si="410"/>
        <v>1.56718749562264</v>
      </c>
      <c r="BC443" s="30" t="str">
        <f t="shared" si="411"/>
        <v>-0,000420917334187713+0,0150920085762684i</v>
      </c>
      <c r="BD443" s="32">
        <f t="shared" si="412"/>
        <v>-36.4216822584695</v>
      </c>
      <c r="BE443" s="31">
        <f t="shared" si="413"/>
        <v>91.5975697624321</v>
      </c>
      <c r="BF443" s="30" t="str">
        <f t="shared" si="414"/>
        <v>-0,00631808251320871-0,00871561744599416i</v>
      </c>
      <c r="BG443" s="68">
        <f t="shared" si="415"/>
        <v>-39.359909359011</v>
      </c>
      <c r="BH443" s="31">
        <f t="shared" si="416"/>
        <v>-125.938922499035</v>
      </c>
      <c r="BI443" s="30" t="str">
        <f t="shared" si="423"/>
        <v>0,00887446129256752-0,0120892318242729i</v>
      </c>
      <c r="BJ443" s="68">
        <f t="shared" si="417"/>
        <v>-36.4799975138128</v>
      </c>
      <c r="BK443" s="31">
        <f t="shared" si="424"/>
        <v>-53.7183584259309</v>
      </c>
      <c r="BL443" s="32">
        <f t="shared" si="418"/>
        <v>-39.359909359011</v>
      </c>
      <c r="BM443" s="31">
        <f t="shared" si="419"/>
        <v>-125.938922499035</v>
      </c>
      <c r="BO443">
        <f t="shared" si="420"/>
        <v>0</v>
      </c>
      <c r="BP443">
        <f t="shared" si="421"/>
        <v>0</v>
      </c>
    </row>
    <row r="444" spans="14:68">
      <c r="N444" s="7">
        <v>26</v>
      </c>
      <c r="O444" s="18">
        <f t="shared" si="422"/>
        <v>181970.085860999</v>
      </c>
      <c r="P444" s="86" t="str">
        <f t="shared" si="372"/>
        <v>15</v>
      </c>
      <c r="Q444" s="4" t="str">
        <f t="shared" si="373"/>
        <v>1+333,477599533175i</v>
      </c>
      <c r="R444" s="4">
        <f t="shared" si="384"/>
        <v>333.479098880887</v>
      </c>
      <c r="S444" s="4">
        <f t="shared" si="385"/>
        <v>1.56779763361727</v>
      </c>
      <c r="T444" s="4" t="str">
        <f t="shared" si="374"/>
        <v>1+0,228670353965606i</v>
      </c>
      <c r="U444" s="4">
        <f t="shared" si="386"/>
        <v>1.02581193733684</v>
      </c>
      <c r="V444" s="4">
        <f t="shared" si="387"/>
        <v>0.224805180054264</v>
      </c>
      <c r="W444" t="str">
        <f t="shared" si="375"/>
        <v>1-20,0086559719905i</v>
      </c>
      <c r="X444" s="4">
        <f t="shared" si="388"/>
        <v>20.0336295714349</v>
      </c>
      <c r="Y444" s="4">
        <f t="shared" si="389"/>
        <v>-1.52085950772296</v>
      </c>
      <c r="Z444" t="str">
        <f t="shared" si="376"/>
        <v>0,764528980279046+1,06168378626888i</v>
      </c>
      <c r="AA444" s="4">
        <f t="shared" si="390"/>
        <v>1.30831075196711</v>
      </c>
      <c r="AB444" s="4">
        <f t="shared" si="391"/>
        <v>0.946700914203822</v>
      </c>
      <c r="AC444" s="67" t="str">
        <f t="shared" si="392"/>
        <v>-0,554260280398222+0,438177755942011i</v>
      </c>
      <c r="AD444" s="68">
        <f t="shared" si="393"/>
        <v>-3.01721765741537</v>
      </c>
      <c r="AE444" s="31">
        <f t="shared" si="394"/>
        <v>141.671402622995</v>
      </c>
      <c r="AF444" s="32" t="str">
        <f t="shared" si="395"/>
        <v>75,4669735059805</v>
      </c>
      <c r="AG444" s="32" t="str">
        <f t="shared" si="377"/>
        <v>1+214,378456842756i</v>
      </c>
      <c r="AH444" s="32">
        <f t="shared" si="396"/>
        <v>214.380789153976</v>
      </c>
      <c r="AI444" s="32">
        <f t="shared" si="397"/>
        <v>1.56613171281343</v>
      </c>
      <c r="AJ444" s="32" t="str">
        <f t="shared" si="378"/>
        <v>1+0,228670353965606i</v>
      </c>
      <c r="AK444" s="32">
        <f t="shared" si="398"/>
        <v>1.02581193733684</v>
      </c>
      <c r="AL444" s="32">
        <f t="shared" si="399"/>
        <v>0.224805180054264</v>
      </c>
      <c r="AM444" s="32" t="str">
        <f t="shared" si="379"/>
        <v>1-2,55661227953017i</v>
      </c>
      <c r="AN444" s="32">
        <f t="shared" si="400"/>
        <v>2.74522610140667</v>
      </c>
      <c r="AO444" s="32">
        <f t="shared" si="401"/>
        <v>-1.19794887377963</v>
      </c>
      <c r="AP444" s="30" t="str">
        <f t="shared" si="402"/>
        <v>-0,816878218329661-0,561639746069406i</v>
      </c>
      <c r="AQ444" s="32">
        <f t="shared" si="403"/>
        <v>-0.0756612714014905</v>
      </c>
      <c r="AR444" s="31">
        <f t="shared" si="404"/>
        <v>-145.489763816039</v>
      </c>
      <c r="AS444" t="str">
        <f t="shared" si="380"/>
        <v>-0,000338461538461538</v>
      </c>
      <c r="AT444" t="str">
        <f t="shared" si="381"/>
        <v>0,200148300715477i</v>
      </c>
      <c r="AU444">
        <f t="shared" si="405"/>
        <v>0.200148300715477</v>
      </c>
      <c r="AV444">
        <f t="shared" si="406"/>
        <v>1.5707963267949</v>
      </c>
      <c r="AW444" t="str">
        <f t="shared" si="382"/>
        <v>1+32,4833282601286i</v>
      </c>
      <c r="AX444">
        <f t="shared" si="407"/>
        <v>32.4987171263001</v>
      </c>
      <c r="AY444">
        <f t="shared" si="408"/>
        <v>1.54002102367229</v>
      </c>
      <c r="AZ444" t="str">
        <f t="shared" si="383"/>
        <v>1+283,551238917351i</v>
      </c>
      <c r="BA444">
        <f t="shared" si="409"/>
        <v>283.553002261596</v>
      </c>
      <c r="BB444">
        <f t="shared" si="410"/>
        <v>1.56726964196016</v>
      </c>
      <c r="BC444" s="30" t="str">
        <f t="shared" si="411"/>
        <v>-0,0004019908704205+0,0147490551713316i</v>
      </c>
      <c r="BD444" s="32">
        <f t="shared" si="412"/>
        <v>-36.6214910164087</v>
      </c>
      <c r="BE444" s="31">
        <f t="shared" si="413"/>
        <v>91.561230825458</v>
      </c>
      <c r="BF444" s="30" t="str">
        <f t="shared" si="414"/>
        <v>-0,0062399003246822-0,00835095891238113i</v>
      </c>
      <c r="BG444" s="68">
        <f t="shared" si="415"/>
        <v>-39.6387086738241</v>
      </c>
      <c r="BH444" s="31">
        <f t="shared" si="416"/>
        <v>-126.767366551547</v>
      </c>
      <c r="BI444" s="30" t="str">
        <f t="shared" si="423"/>
        <v>0,00861203318720423-0,011822407860018i</v>
      </c>
      <c r="BJ444" s="68">
        <f t="shared" si="417"/>
        <v>-36.6971522878102</v>
      </c>
      <c r="BK444" s="31">
        <f t="shared" si="424"/>
        <v>-53.9285329905812</v>
      </c>
      <c r="BL444" s="32">
        <f t="shared" si="418"/>
        <v>-39.6387086738241</v>
      </c>
      <c r="BM444" s="31">
        <f t="shared" si="419"/>
        <v>-126.767366551547</v>
      </c>
      <c r="BO444">
        <f t="shared" si="420"/>
        <v>0</v>
      </c>
      <c r="BP444">
        <f t="shared" si="421"/>
        <v>0</v>
      </c>
    </row>
    <row r="445" spans="14:68">
      <c r="N445" s="7">
        <v>27</v>
      </c>
      <c r="O445" s="18">
        <f t="shared" si="422"/>
        <v>186208.713666287</v>
      </c>
      <c r="P445" s="86" t="str">
        <f t="shared" si="372"/>
        <v>15</v>
      </c>
      <c r="Q445" s="4" t="str">
        <f t="shared" si="373"/>
        <v>1+341,245290684906i</v>
      </c>
      <c r="R445" s="4">
        <f t="shared" si="384"/>
        <v>341.246755903446</v>
      </c>
      <c r="S445" s="4">
        <f t="shared" si="385"/>
        <v>1.56786589181217</v>
      </c>
      <c r="T445" s="4" t="str">
        <f t="shared" si="374"/>
        <v>1+0,233996770755364i</v>
      </c>
      <c r="U445" s="4">
        <f t="shared" si="386"/>
        <v>1.02701240923561</v>
      </c>
      <c r="V445" s="4">
        <f t="shared" si="387"/>
        <v>0.22986102279769</v>
      </c>
      <c r="W445" t="str">
        <f t="shared" si="375"/>
        <v>1-20,4747174410944i</v>
      </c>
      <c r="X445" s="4">
        <f t="shared" si="388"/>
        <v>20.4991232566823</v>
      </c>
      <c r="Y445" s="4">
        <f t="shared" si="389"/>
        <v>-1.52199438360593</v>
      </c>
      <c r="Z445" t="str">
        <f t="shared" si="376"/>
        <v>0,753431573011533+1,08641357850704i</v>
      </c>
      <c r="AA445" s="4">
        <f t="shared" si="390"/>
        <v>1.32210196232178</v>
      </c>
      <c r="AB445" s="4">
        <f t="shared" si="391"/>
        <v>0.964443778176782</v>
      </c>
      <c r="AC445" s="67" t="str">
        <f t="shared" si="392"/>
        <v>-0,543007469601943+0,441675006596991i</v>
      </c>
      <c r="AD445" s="68">
        <f t="shared" si="393"/>
        <v>-3.09862488535029</v>
      </c>
      <c r="AE445" s="31">
        <f t="shared" si="394"/>
        <v>140.8755553471</v>
      </c>
      <c r="AF445" s="32" t="str">
        <f t="shared" si="395"/>
        <v>75,4669735059805</v>
      </c>
      <c r="AG445" s="32" t="str">
        <f t="shared" si="377"/>
        <v>1+219,371972583154i</v>
      </c>
      <c r="AH445" s="32">
        <f t="shared" si="396"/>
        <v>219.374251805047</v>
      </c>
      <c r="AI445" s="32">
        <f t="shared" si="397"/>
        <v>1.56623789090279</v>
      </c>
      <c r="AJ445" s="32" t="str">
        <f t="shared" si="378"/>
        <v>1+0,233996770755364i</v>
      </c>
      <c r="AK445" s="32">
        <f t="shared" si="398"/>
        <v>1.02701240923561</v>
      </c>
      <c r="AL445" s="32">
        <f t="shared" si="399"/>
        <v>0.22986102279769</v>
      </c>
      <c r="AM445" s="32" t="str">
        <f t="shared" si="379"/>
        <v>1-2,61616342962214i</v>
      </c>
      <c r="AN445" s="32">
        <f t="shared" si="400"/>
        <v>2.80076973178665</v>
      </c>
      <c r="AO445" s="32">
        <f t="shared" si="401"/>
        <v>-1.20569418675746</v>
      </c>
      <c r="AP445" s="30" t="str">
        <f t="shared" si="402"/>
        <v>-0,816952922589677-0,558333995458905i</v>
      </c>
      <c r="AQ445" s="32">
        <f t="shared" si="403"/>
        <v>-0.091512471324933</v>
      </c>
      <c r="AR445" s="31">
        <f t="shared" si="404"/>
        <v>-145.649942665994</v>
      </c>
      <c r="AS445" t="str">
        <f t="shared" si="380"/>
        <v>-0,000338461538461538</v>
      </c>
      <c r="AT445" t="str">
        <f t="shared" si="381"/>
        <v>0,204810353539048i</v>
      </c>
      <c r="AU445">
        <f t="shared" si="405"/>
        <v>0.204810353539048</v>
      </c>
      <c r="AV445">
        <f t="shared" si="406"/>
        <v>1.5707963267949</v>
      </c>
      <c r="AW445" t="str">
        <f t="shared" si="382"/>
        <v>1+33,239962174545i</v>
      </c>
      <c r="AX445">
        <f t="shared" si="407"/>
        <v>33.2550009076106</v>
      </c>
      <c r="AY445">
        <f t="shared" si="408"/>
        <v>1.54072112783096</v>
      </c>
      <c r="AZ445" t="str">
        <f t="shared" si="383"/>
        <v>1+290,155995736651i</v>
      </c>
      <c r="BA445">
        <f t="shared" si="409"/>
        <v>290.157718942522</v>
      </c>
      <c r="BB445">
        <f t="shared" si="410"/>
        <v>1.56734991846473</v>
      </c>
      <c r="BC445" s="30" t="str">
        <f t="shared" si="411"/>
        <v>-0,000383914661013748+0,0144138694969222i</v>
      </c>
      <c r="BD445" s="32">
        <f t="shared" si="412"/>
        <v>-36.8213083735873</v>
      </c>
      <c r="BE445" s="31">
        <f t="shared" si="413"/>
        <v>91.5257173168525</v>
      </c>
      <c r="BF445" s="30" t="str">
        <f t="shared" si="414"/>
        <v>-0,00615777737652112-0,00799640431313228i</v>
      </c>
      <c r="BG445" s="68">
        <f t="shared" si="415"/>
        <v>-39.9199332589376</v>
      </c>
      <c r="BH445" s="31">
        <f t="shared" si="416"/>
        <v>-127.598727336048</v>
      </c>
      <c r="BI445" s="30" t="str">
        <f t="shared" si="423"/>
        <v>0,00836139355058002-0,0115611002047377i</v>
      </c>
      <c r="BJ445" s="68">
        <f t="shared" si="417"/>
        <v>-36.9128208449123</v>
      </c>
      <c r="BK445" s="31">
        <f t="shared" si="424"/>
        <v>-54.1242253491414</v>
      </c>
      <c r="BL445" s="32">
        <f t="shared" si="418"/>
        <v>-39.9199332589376</v>
      </c>
      <c r="BM445" s="31">
        <f t="shared" si="419"/>
        <v>-127.598727336048</v>
      </c>
      <c r="BO445">
        <f t="shared" si="420"/>
        <v>0</v>
      </c>
      <c r="BP445">
        <f t="shared" si="421"/>
        <v>0</v>
      </c>
    </row>
    <row r="446" spans="14:68">
      <c r="N446" s="7">
        <v>28</v>
      </c>
      <c r="O446" s="18">
        <f t="shared" si="422"/>
        <v>190546.071796325</v>
      </c>
      <c r="P446" s="86" t="str">
        <f t="shared" si="372"/>
        <v>15</v>
      </c>
      <c r="Q446" s="4" t="str">
        <f t="shared" si="373"/>
        <v>1+349,193914606676i</v>
      </c>
      <c r="R446" s="4">
        <f t="shared" si="384"/>
        <v>349.195346472908</v>
      </c>
      <c r="S446" s="4">
        <f t="shared" si="385"/>
        <v>1.56793259628724</v>
      </c>
      <c r="T446" s="4" t="str">
        <f t="shared" si="374"/>
        <v>1+0,239447255730292i</v>
      </c>
      <c r="U446" s="4">
        <f t="shared" si="386"/>
        <v>1.02826795548474</v>
      </c>
      <c r="V446" s="4">
        <f t="shared" si="387"/>
        <v>0.235022275009074</v>
      </c>
      <c r="W446" t="str">
        <f t="shared" si="375"/>
        <v>1-20,9516348764006i</v>
      </c>
      <c r="X446" s="4">
        <f t="shared" si="388"/>
        <v>20.9754857868419</v>
      </c>
      <c r="Y446" s="4">
        <f t="shared" si="389"/>
        <v>-1.52310354813978</v>
      </c>
      <c r="Z446" t="str">
        <f t="shared" si="376"/>
        <v>0,741811161052368+1,11171940160492i</v>
      </c>
      <c r="AA446" s="4">
        <f t="shared" si="390"/>
        <v>1.33648936642484</v>
      </c>
      <c r="AB446" s="4">
        <f t="shared" si="391"/>
        <v>0.982379784529391</v>
      </c>
      <c r="AC446" s="67" t="str">
        <f t="shared" si="392"/>
        <v>-0,531635378770497+0,444890841328675i</v>
      </c>
      <c r="AD446" s="68">
        <f t="shared" si="393"/>
        <v>-3.18248733043416</v>
      </c>
      <c r="AE446" s="31">
        <f t="shared" si="394"/>
        <v>140.076243519019</v>
      </c>
      <c r="AF446" s="32" t="str">
        <f t="shared" si="395"/>
        <v>75,4669735059805</v>
      </c>
      <c r="AG446" s="32" t="str">
        <f t="shared" si="377"/>
        <v>1+224,481802247149i</v>
      </c>
      <c r="AH446" s="32">
        <f t="shared" si="396"/>
        <v>224.484029588138</v>
      </c>
      <c r="AI446" s="32">
        <f t="shared" si="397"/>
        <v>1.56634165218309</v>
      </c>
      <c r="AJ446" s="32" t="str">
        <f t="shared" si="378"/>
        <v>1+0,239447255730292i</v>
      </c>
      <c r="AK446" s="32">
        <f t="shared" si="398"/>
        <v>1.02826795548474</v>
      </c>
      <c r="AL446" s="32">
        <f t="shared" si="399"/>
        <v>0.235022275009074</v>
      </c>
      <c r="AM446" s="32" t="str">
        <f t="shared" si="379"/>
        <v>1-2,67710170419354i</v>
      </c>
      <c r="AN446" s="32">
        <f t="shared" si="400"/>
        <v>2.85777422736576</v>
      </c>
      <c r="AO446" s="32">
        <f t="shared" si="401"/>
        <v>-1.21330776875638</v>
      </c>
      <c r="AP446" s="30" t="str">
        <f t="shared" si="402"/>
        <v>-0,81702426474072-0,555324250262326i</v>
      </c>
      <c r="AQ446" s="32">
        <f t="shared" si="403"/>
        <v>-0.10588597688657</v>
      </c>
      <c r="AR446" s="31">
        <f t="shared" si="404"/>
        <v>-145.796395896232</v>
      </c>
      <c r="AS446" t="str">
        <f t="shared" si="380"/>
        <v>-0,000338461538461538</v>
      </c>
      <c r="AT446" t="str">
        <f t="shared" si="381"/>
        <v>0,209580999523052i</v>
      </c>
      <c r="AU446">
        <f t="shared" si="405"/>
        <v>0.209580999523052</v>
      </c>
      <c r="AV446">
        <f t="shared" si="406"/>
        <v>1.5707963267949</v>
      </c>
      <c r="AW446" t="str">
        <f t="shared" si="382"/>
        <v>1+34,0142203568895i</v>
      </c>
      <c r="AX446">
        <f t="shared" si="407"/>
        <v>34.0289169161617</v>
      </c>
      <c r="AY446">
        <f t="shared" si="408"/>
        <v>1.54140532417162</v>
      </c>
      <c r="AZ446" t="str">
        <f t="shared" si="383"/>
        <v>1+296,914597105562i</v>
      </c>
      <c r="BA446">
        <f t="shared" si="409"/>
        <v>296.916281086703</v>
      </c>
      <c r="BB446">
        <f t="shared" si="410"/>
        <v>1.5674283676959</v>
      </c>
      <c r="BC446" s="30" t="str">
        <f t="shared" si="411"/>
        <v>-0,000366650576777374+0,0140862773252927i</v>
      </c>
      <c r="BD446" s="32">
        <f t="shared" si="412"/>
        <v>-37.0211339436856</v>
      </c>
      <c r="BE446" s="31">
        <f t="shared" si="413"/>
        <v>91.4910105640261</v>
      </c>
      <c r="BF446" s="30" t="str">
        <f t="shared" si="414"/>
        <v>-0,00607193135217705-0,00765188286487438i</v>
      </c>
      <c r="BG446" s="68">
        <f t="shared" si="415"/>
        <v>-40.2036212741198</v>
      </c>
      <c r="BH446" s="31">
        <f t="shared" si="416"/>
        <v>-128.432745916955</v>
      </c>
      <c r="BI446" s="30" t="str">
        <f t="shared" si="423"/>
        <v>0,00812201381256367-0,011305220417974i</v>
      </c>
      <c r="BJ446" s="68">
        <f t="shared" si="417"/>
        <v>-37.1270199205722</v>
      </c>
      <c r="BK446" s="31">
        <f t="shared" si="424"/>
        <v>-54.3053853322057</v>
      </c>
      <c r="BL446" s="32">
        <f t="shared" si="418"/>
        <v>-40.2036212741198</v>
      </c>
      <c r="BM446" s="31">
        <f t="shared" si="419"/>
        <v>-128.432745916955</v>
      </c>
      <c r="BO446">
        <f t="shared" si="420"/>
        <v>0</v>
      </c>
      <c r="BP446">
        <f t="shared" si="421"/>
        <v>0</v>
      </c>
    </row>
    <row r="447" spans="14:68">
      <c r="N447" s="7">
        <v>29</v>
      </c>
      <c r="O447" s="18">
        <f t="shared" si="422"/>
        <v>194984.459975805</v>
      </c>
      <c r="P447" s="86" t="str">
        <f t="shared" si="372"/>
        <v>15</v>
      </c>
      <c r="Q447" s="4" t="str">
        <f t="shared" si="373"/>
        <v>1+357,327685764093i</v>
      </c>
      <c r="R447" s="4">
        <f t="shared" si="384"/>
        <v>357.3290850372</v>
      </c>
      <c r="S447" s="4">
        <f t="shared" si="385"/>
        <v>1.56799778240771</v>
      </c>
      <c r="T447" s="4" t="str">
        <f t="shared" si="374"/>
        <v>1+0,245024698809664i</v>
      </c>
      <c r="U447" s="4">
        <f t="shared" si="386"/>
        <v>1.0295810327637</v>
      </c>
      <c r="V447" s="4">
        <f t="shared" si="387"/>
        <v>0.240290572862225</v>
      </c>
      <c r="W447" t="str">
        <f t="shared" si="375"/>
        <v>1-21,4396611458456i</v>
      </c>
      <c r="X447" s="4">
        <f t="shared" si="388"/>
        <v>21.4629697397327</v>
      </c>
      <c r="Y447" s="4">
        <f t="shared" si="389"/>
        <v>-1.52418757849567</v>
      </c>
      <c r="Z447" t="str">
        <f t="shared" si="376"/>
        <v>0,729643095949823+1,13761467304487i</v>
      </c>
      <c r="AA447" s="4">
        <f t="shared" si="390"/>
        <v>1.35149775870855</v>
      </c>
      <c r="AB447" s="4">
        <f t="shared" si="391"/>
        <v>1.00050487435365</v>
      </c>
      <c r="AC447" s="67" t="str">
        <f t="shared" si="392"/>
        <v>-0,52015515571749+0,44781866481215i</v>
      </c>
      <c r="AD447" s="68">
        <f t="shared" si="393"/>
        <v>-3.26884183090368</v>
      </c>
      <c r="AE447" s="31">
        <f t="shared" si="394"/>
        <v>139.273758347155</v>
      </c>
      <c r="AF447" s="32" t="str">
        <f t="shared" si="395"/>
        <v>75,4669735059805</v>
      </c>
      <c r="AG447" s="32" t="str">
        <f t="shared" si="377"/>
        <v>1+229,71065513406i</v>
      </c>
      <c r="AH447" s="32">
        <f t="shared" si="396"/>
        <v>229.712831775064</v>
      </c>
      <c r="AI447" s="32">
        <f t="shared" si="397"/>
        <v>1.56644305166098</v>
      </c>
      <c r="AJ447" s="32" t="str">
        <f t="shared" si="378"/>
        <v>1+0,245024698809664i</v>
      </c>
      <c r="AK447" s="32">
        <f t="shared" si="398"/>
        <v>1.0295810327637</v>
      </c>
      <c r="AL447" s="32">
        <f t="shared" si="399"/>
        <v>0.240290572862225</v>
      </c>
      <c r="AM447" s="32" t="str">
        <f t="shared" si="379"/>
        <v>1-2,7394594135241i</v>
      </c>
      <c r="AN447" s="32">
        <f t="shared" si="400"/>
        <v>2.91627122852896</v>
      </c>
      <c r="AO447" s="32">
        <f t="shared" si="401"/>
        <v>-1.22079012492431</v>
      </c>
      <c r="AP447" s="30" t="str">
        <f t="shared" si="402"/>
        <v>-0,817092396090609-0,552608916719335i</v>
      </c>
      <c r="AQ447" s="32">
        <f t="shared" si="403"/>
        <v>-0.118797510850166</v>
      </c>
      <c r="AR447" s="31">
        <f t="shared" si="404"/>
        <v>-145.929061855392</v>
      </c>
      <c r="AS447" t="str">
        <f t="shared" si="380"/>
        <v>-0,000338461538461538</v>
      </c>
      <c r="AT447" t="str">
        <f t="shared" si="381"/>
        <v>0,214462768127135i</v>
      </c>
      <c r="AU447">
        <f t="shared" si="405"/>
        <v>0.214462768127135</v>
      </c>
      <c r="AV447">
        <f t="shared" si="406"/>
        <v>1.5707963267949</v>
      </c>
      <c r="AW447" t="str">
        <f t="shared" si="382"/>
        <v>1+34,8065133290982i</v>
      </c>
      <c r="AX447">
        <f t="shared" si="407"/>
        <v>34.8208754934262</v>
      </c>
      <c r="AY447">
        <f t="shared" si="408"/>
        <v>1.54207397290044</v>
      </c>
      <c r="AZ447" t="str">
        <f t="shared" si="383"/>
        <v>1+303,830626523983i</v>
      </c>
      <c r="BA447">
        <f t="shared" si="409"/>
        <v>303.832272173244</v>
      </c>
      <c r="BB447">
        <f t="shared" si="410"/>
        <v>1.5675050312446</v>
      </c>
      <c r="BC447" s="30" t="str">
        <f t="shared" si="411"/>
        <v>-0,000350162192449499+0,0137661082224664i</v>
      </c>
      <c r="BD447" s="32">
        <f t="shared" si="412"/>
        <v>-37.2209673577085</v>
      </c>
      <c r="BE447" s="31">
        <f t="shared" si="413"/>
        <v>91.4570923116712</v>
      </c>
      <c r="BF447" s="30" t="str">
        <f t="shared" si="414"/>
        <v>-0,00598258153410452-0,00731732133157126i</v>
      </c>
      <c r="BG447" s="68">
        <f t="shared" si="415"/>
        <v>-40.4898091886121</v>
      </c>
      <c r="BH447" s="31">
        <f t="shared" si="416"/>
        <v>-129.269149341174</v>
      </c>
      <c r="BI447" s="30" t="str">
        <f t="shared" si="423"/>
        <v>0,00789338901710719-0,0110546796024921i</v>
      </c>
      <c r="BJ447" s="68">
        <f t="shared" si="417"/>
        <v>-37.3397648685586</v>
      </c>
      <c r="BK447" s="31">
        <f t="shared" si="424"/>
        <v>-54.4719695437209</v>
      </c>
      <c r="BL447" s="32">
        <f t="shared" si="418"/>
        <v>-40.4898091886121</v>
      </c>
      <c r="BM447" s="31">
        <f t="shared" si="419"/>
        <v>-129.269149341174</v>
      </c>
      <c r="BO447">
        <f t="shared" si="420"/>
        <v>0</v>
      </c>
      <c r="BP447">
        <f t="shared" si="421"/>
        <v>0</v>
      </c>
    </row>
    <row r="448" spans="14:68">
      <c r="N448" s="7">
        <v>30</v>
      </c>
      <c r="O448" s="18">
        <f t="shared" si="422"/>
        <v>199526.231496888</v>
      </c>
      <c r="P448" s="86" t="str">
        <f t="shared" si="372"/>
        <v>15</v>
      </c>
      <c r="Q448" s="4" t="str">
        <f t="shared" si="373"/>
        <v>1+365,650916790297i</v>
      </c>
      <c r="R448" s="4">
        <f t="shared" si="384"/>
        <v>365.65228421218</v>
      </c>
      <c r="S448" s="4">
        <f t="shared" si="385"/>
        <v>1.5680614847339</v>
      </c>
      <c r="T448" s="4" t="str">
        <f t="shared" si="374"/>
        <v>1+0,250732057227632i</v>
      </c>
      <c r="U448" s="4">
        <f t="shared" si="386"/>
        <v>1.0309542009816</v>
      </c>
      <c r="V448" s="4">
        <f t="shared" si="387"/>
        <v>0.245667539397565</v>
      </c>
      <c r="W448" t="str">
        <f t="shared" si="375"/>
        <v>1-21,9390550074178i</v>
      </c>
      <c r="X448" s="4">
        <f t="shared" si="388"/>
        <v>21.9618335896278</v>
      </c>
      <c r="Y448" s="4">
        <f t="shared" si="389"/>
        <v>-1.52524703924409</v>
      </c>
      <c r="Z448" t="str">
        <f t="shared" si="376"/>
        <v>0,716901567606401+1,16411312284257i</v>
      </c>
      <c r="AA448" s="4">
        <f t="shared" si="390"/>
        <v>1.36715296159969</v>
      </c>
      <c r="AB448" s="4">
        <f t="shared" si="391"/>
        <v>1.01881475940925</v>
      </c>
      <c r="AC448" s="67" t="str">
        <f t="shared" si="392"/>
        <v>-0,508578468644086+0,450452444137142i</v>
      </c>
      <c r="AD448" s="68">
        <f t="shared" si="393"/>
        <v>-3.35772340412776</v>
      </c>
      <c r="AE448" s="31">
        <f t="shared" si="394"/>
        <v>138.468404195277</v>
      </c>
      <c r="AF448" s="32" t="str">
        <f t="shared" si="395"/>
        <v>75,4669735059805</v>
      </c>
      <c r="AG448" s="32" t="str">
        <f t="shared" si="377"/>
        <v>1+235,061303650905i</v>
      </c>
      <c r="AH448" s="32">
        <f t="shared" si="396"/>
        <v>235.063430745965</v>
      </c>
      <c r="AI448" s="32">
        <f t="shared" si="397"/>
        <v>1.56654214309146</v>
      </c>
      <c r="AJ448" s="32" t="str">
        <f t="shared" si="378"/>
        <v>1+0,250732057227632i</v>
      </c>
      <c r="AK448" s="32">
        <f t="shared" si="398"/>
        <v>1.0309542009816</v>
      </c>
      <c r="AL448" s="32">
        <f t="shared" si="399"/>
        <v>0.245667539397565</v>
      </c>
      <c r="AM448" s="32" t="str">
        <f t="shared" si="379"/>
        <v>1-2,80326962049676i</v>
      </c>
      <c r="AN448" s="32">
        <f t="shared" si="400"/>
        <v>2.97629309127983</v>
      </c>
      <c r="AO448" s="32">
        <f t="shared" si="401"/>
        <v>-1.2281418702821</v>
      </c>
      <c r="AP448" s="30" t="str">
        <f t="shared" si="402"/>
        <v>-0,817157461138234-0,550186557033963i</v>
      </c>
      <c r="AQ448" s="32">
        <f t="shared" si="403"/>
        <v>-0.130261357874447</v>
      </c>
      <c r="AR448" s="31">
        <f t="shared" si="404"/>
        <v>-146.047885868143</v>
      </c>
      <c r="AS448" t="str">
        <f t="shared" si="380"/>
        <v>-0,000338461538461538</v>
      </c>
      <c r="AT448" t="str">
        <f t="shared" si="381"/>
        <v>0,219458247729629i</v>
      </c>
      <c r="AU448">
        <f t="shared" si="405"/>
        <v>0.219458247729629</v>
      </c>
      <c r="AV448">
        <f t="shared" si="406"/>
        <v>1.5707963267949</v>
      </c>
      <c r="AW448" t="str">
        <f t="shared" si="382"/>
        <v>1+35,6172611753929i</v>
      </c>
      <c r="AX448">
        <f t="shared" si="407"/>
        <v>35.6312965472231</v>
      </c>
      <c r="AY448">
        <f t="shared" si="408"/>
        <v>1.54272742615089</v>
      </c>
      <c r="AZ448" t="str">
        <f t="shared" si="383"/>
        <v>1+310,907750962264i</v>
      </c>
      <c r="BA448">
        <f t="shared" si="409"/>
        <v>310.90935915217</v>
      </c>
      <c r="BB448">
        <f t="shared" si="410"/>
        <v>1.56757994975527</v>
      </c>
      <c r="BC448" s="30" t="str">
        <f t="shared" si="411"/>
        <v>-0,000334414711074605+0,0134531954733091i</v>
      </c>
      <c r="BD448" s="32">
        <f t="shared" si="412"/>
        <v>-37.4208082632113</v>
      </c>
      <c r="BE448" s="31">
        <f t="shared" si="413"/>
        <v>91.4239447127804</v>
      </c>
      <c r="BF448" s="30" t="str">
        <f t="shared" si="414"/>
        <v>-0,00588994866075644-0,00699264347614406i</v>
      </c>
      <c r="BG448" s="68">
        <f t="shared" si="415"/>
        <v>-40.7785316673391</v>
      </c>
      <c r="BH448" s="31">
        <f t="shared" si="416"/>
        <v>-130.107651091943</v>
      </c>
      <c r="BI448" s="30" t="str">
        <f t="shared" si="423"/>
        <v>0,00767503677483383-0,010809388578658i</v>
      </c>
      <c r="BJ448" s="68">
        <f t="shared" si="417"/>
        <v>-37.5510696210857</v>
      </c>
      <c r="BK448" s="31">
        <f t="shared" si="424"/>
        <v>-54.623941155363</v>
      </c>
      <c r="BL448" s="32">
        <f t="shared" si="418"/>
        <v>-40.7785316673391</v>
      </c>
      <c r="BM448" s="31">
        <f t="shared" si="419"/>
        <v>-130.107651091943</v>
      </c>
      <c r="BO448">
        <f t="shared" si="420"/>
        <v>0</v>
      </c>
      <c r="BP448">
        <f t="shared" si="421"/>
        <v>0</v>
      </c>
    </row>
    <row r="449" spans="14:68">
      <c r="N449" s="7">
        <v>31</v>
      </c>
      <c r="O449" s="18">
        <f t="shared" si="422"/>
        <v>204173.794466953</v>
      </c>
      <c r="P449" s="86" t="str">
        <f t="shared" si="372"/>
        <v>15</v>
      </c>
      <c r="Q449" s="4" t="str">
        <f t="shared" si="373"/>
        <v>1+374,168020772542i</v>
      </c>
      <c r="R449" s="4">
        <f t="shared" si="384"/>
        <v>374.169357068215</v>
      </c>
      <c r="S449" s="4">
        <f t="shared" si="385"/>
        <v>1.56812373703957</v>
      </c>
      <c r="T449" s="4" t="str">
        <f t="shared" si="374"/>
        <v>1+0,256572357101172i</v>
      </c>
      <c r="U449" s="4">
        <f t="shared" si="386"/>
        <v>1.0323901270491</v>
      </c>
      <c r="V449" s="4">
        <f t="shared" si="387"/>
        <v>0.251154781358435</v>
      </c>
      <c r="W449" t="str">
        <f t="shared" si="375"/>
        <v>1-22,4500812463526i</v>
      </c>
      <c r="X449" s="4">
        <f t="shared" si="388"/>
        <v>22.4723418443168</v>
      </c>
      <c r="Y449" s="4">
        <f t="shared" si="389"/>
        <v>-1.52628248260615</v>
      </c>
      <c r="Z449" t="str">
        <f t="shared" si="376"/>
        <v>0,703559549532207+1,19122880082687i</v>
      </c>
      <c r="AA449" s="4">
        <f t="shared" si="390"/>
        <v>1.38348187398946</v>
      </c>
      <c r="AB449" s="4">
        <f t="shared" si="391"/>
        <v>1.03730492734301</v>
      </c>
      <c r="AC449" s="67" t="str">
        <f t="shared" si="392"/>
        <v>-0,49691746945026+0,45278675277636i</v>
      </c>
      <c r="AD449" s="68">
        <f t="shared" si="393"/>
        <v>-3.44916513705202</v>
      </c>
      <c r="AE449" s="31">
        <f t="shared" si="394"/>
        <v>137.660498086759</v>
      </c>
      <c r="AF449" s="32" t="str">
        <f t="shared" si="395"/>
        <v>75,4669735059805</v>
      </c>
      <c r="AG449" s="32" t="str">
        <f t="shared" si="377"/>
        <v>1+240,536584782349i</v>
      </c>
      <c r="AH449" s="32">
        <f t="shared" si="396"/>
        <v>240.538663459237</v>
      </c>
      <c r="AI449" s="32">
        <f t="shared" si="397"/>
        <v>1.56663897900633</v>
      </c>
      <c r="AJ449" s="32" t="str">
        <f t="shared" si="378"/>
        <v>1+0,256572357101172i</v>
      </c>
      <c r="AK449" s="32">
        <f t="shared" si="398"/>
        <v>1.0323901270491</v>
      </c>
      <c r="AL449" s="32">
        <f t="shared" si="399"/>
        <v>0.251154781358435</v>
      </c>
      <c r="AM449" s="32" t="str">
        <f t="shared" si="379"/>
        <v>1-2,86856615812786i</v>
      </c>
      <c r="AN449" s="32">
        <f t="shared" si="400"/>
        <v>3.03787290773601</v>
      </c>
      <c r="AO449" s="32">
        <f t="shared" si="401"/>
        <v>-1.23536372306937</v>
      </c>
      <c r="AP449" s="30" t="str">
        <f t="shared" si="402"/>
        <v>-0,817219597879937-0,5480558886214i</v>
      </c>
      <c r="AQ449" s="32">
        <f t="shared" si="403"/>
        <v>-0.140290329622045</v>
      </c>
      <c r="AR449" s="31">
        <f t="shared" si="404"/>
        <v>-146.152820036821</v>
      </c>
      <c r="AS449" t="str">
        <f t="shared" si="380"/>
        <v>-0,000338461538461538</v>
      </c>
      <c r="AT449" t="str">
        <f t="shared" si="381"/>
        <v>0,224570086999944i</v>
      </c>
      <c r="AU449">
        <f t="shared" si="405"/>
        <v>0.224570086999944</v>
      </c>
      <c r="AV449">
        <f t="shared" si="406"/>
        <v>1.5707963267949</v>
      </c>
      <c r="AW449" t="str">
        <f t="shared" si="382"/>
        <v>1+36,4468937650128i</v>
      </c>
      <c r="AX449">
        <f t="shared" si="407"/>
        <v>36.4606097743596</v>
      </c>
      <c r="AY449">
        <f t="shared" si="408"/>
        <v>1.54336602815903</v>
      </c>
      <c r="AZ449" t="str">
        <f t="shared" si="383"/>
        <v>1+318,149722805453i</v>
      </c>
      <c r="BA449">
        <f t="shared" si="409"/>
        <v>318.151294388671</v>
      </c>
      <c r="BB449">
        <f t="shared" si="410"/>
        <v>1.56765316294732</v>
      </c>
      <c r="BC449" s="30" t="str">
        <f t="shared" si="411"/>
        <v>-0,000319374891691776+0,0131473760075497i</v>
      </c>
      <c r="BD449" s="32">
        <f t="shared" si="412"/>
        <v>-37.6206563235606</v>
      </c>
      <c r="BE449" s="31">
        <f t="shared" si="413"/>
        <v>91.3915503198342</v>
      </c>
      <c r="BF449" s="30" t="str">
        <f t="shared" si="414"/>
        <v>-0,00579425472700282-0,00667776953571008i</v>
      </c>
      <c r="BG449" s="68">
        <f t="shared" si="415"/>
        <v>-41.0698214606126</v>
      </c>
      <c r="BH449" s="31">
        <f t="shared" si="416"/>
        <v>-130.947951593407</v>
      </c>
      <c r="BI449" s="30" t="str">
        <f t="shared" si="423"/>
        <v>0,00746649626141863-0,0105692580439966i</v>
      </c>
      <c r="BJ449" s="68">
        <f t="shared" si="417"/>
        <v>-37.7609466531826</v>
      </c>
      <c r="BK449" s="31">
        <f t="shared" si="424"/>
        <v>-54.7612697169869</v>
      </c>
      <c r="BL449" s="32">
        <f t="shared" si="418"/>
        <v>-41.0698214606126</v>
      </c>
      <c r="BM449" s="31">
        <f t="shared" si="419"/>
        <v>-130.947951593407</v>
      </c>
      <c r="BO449">
        <f t="shared" si="420"/>
        <v>0</v>
      </c>
      <c r="BP449">
        <f t="shared" si="421"/>
        <v>0</v>
      </c>
    </row>
    <row r="450" spans="14:68">
      <c r="N450" s="7">
        <v>32</v>
      </c>
      <c r="O450" s="18">
        <f t="shared" si="422"/>
        <v>208929.613085404</v>
      </c>
      <c r="P450" s="86" t="str">
        <f t="shared" si="372"/>
        <v>15</v>
      </c>
      <c r="Q450" s="4" t="str">
        <f t="shared" si="373"/>
        <v>1+382,883513592104i</v>
      </c>
      <c r="R450" s="4">
        <f t="shared" si="384"/>
        <v>382.884819470079</v>
      </c>
      <c r="S450" s="4">
        <f t="shared" si="385"/>
        <v>1.56818457232978</v>
      </c>
      <c r="T450" s="4" t="str">
        <f t="shared" si="374"/>
        <v>1+0,262548695034586i</v>
      </c>
      <c r="U450" s="4">
        <f t="shared" si="386"/>
        <v>1.03389158873857</v>
      </c>
      <c r="V450" s="4">
        <f t="shared" si="387"/>
        <v>0.256753885833818</v>
      </c>
      <c r="W450" t="str">
        <f t="shared" si="375"/>
        <v>1-22,9730108155263i</v>
      </c>
      <c r="X450" s="4">
        <f t="shared" si="388"/>
        <v>22.9947651853697</v>
      </c>
      <c r="Y450" s="4">
        <f t="shared" si="389"/>
        <v>-1.52729444870143</v>
      </c>
      <c r="Z450" t="str">
        <f t="shared" si="376"/>
        <v>0,689588741518101+1,21897608408915i</v>
      </c>
      <c r="AA450" s="4">
        <f t="shared" si="390"/>
        <v>1.400512522618</v>
      </c>
      <c r="AB450" s="4">
        <f t="shared" si="391"/>
        <v>1.05597064757453</v>
      </c>
      <c r="AC450" s="67" t="str">
        <f t="shared" si="392"/>
        <v>-0,485184752880149+0,45481681184144i</v>
      </c>
      <c r="AD450" s="68">
        <f t="shared" si="393"/>
        <v>-3.54319808072887</v>
      </c>
      <c r="AE450" s="31">
        <f t="shared" si="394"/>
        <v>136.850369159769</v>
      </c>
      <c r="AF450" s="32" t="str">
        <f t="shared" si="395"/>
        <v>75,4669735059805</v>
      </c>
      <c r="AG450" s="32" t="str">
        <f t="shared" si="377"/>
        <v>1+246,139401594924i</v>
      </c>
      <c r="AH450" s="32">
        <f t="shared" si="396"/>
        <v>246.141432955745</v>
      </c>
      <c r="AI450" s="32">
        <f t="shared" si="397"/>
        <v>1.56673361074201</v>
      </c>
      <c r="AJ450" s="32" t="str">
        <f t="shared" si="378"/>
        <v>1+0,262548695034586i</v>
      </c>
      <c r="AK450" s="32">
        <f t="shared" si="398"/>
        <v>1.03389158873857</v>
      </c>
      <c r="AL450" s="32">
        <f t="shared" si="399"/>
        <v>0.256753885833818</v>
      </c>
      <c r="AM450" s="32" t="str">
        <f t="shared" si="379"/>
        <v>1-2,93538364750598i</v>
      </c>
      <c r="AN450" s="32">
        <f t="shared" si="400"/>
        <v>3.10104452693693</v>
      </c>
      <c r="AO450" s="32">
        <f t="shared" si="401"/>
        <v>-1.24245649820824</v>
      </c>
      <c r="AP450" s="30" t="str">
        <f t="shared" si="402"/>
        <v>-0,817278938102079-0,546215783436457i</v>
      </c>
      <c r="AQ450" s="32">
        <f t="shared" si="403"/>
        <v>-0.148895733974941</v>
      </c>
      <c r="AR450" s="31">
        <f t="shared" si="404"/>
        <v>-146.243823060884</v>
      </c>
      <c r="AS450" t="str">
        <f t="shared" si="380"/>
        <v>-0,000338461538461538</v>
      </c>
      <c r="AT450" t="str">
        <f t="shared" si="381"/>
        <v>0,229800996302922i</v>
      </c>
      <c r="AU450">
        <f t="shared" si="405"/>
        <v>0.229800996302922</v>
      </c>
      <c r="AV450">
        <f t="shared" si="406"/>
        <v>1.5707963267949</v>
      </c>
      <c r="AW450" t="str">
        <f t="shared" si="382"/>
        <v>1+37,2958509801389i</v>
      </c>
      <c r="AX450">
        <f t="shared" si="407"/>
        <v>37.3092548884687</v>
      </c>
      <c r="AY450">
        <f t="shared" si="408"/>
        <v>1.54399011543549</v>
      </c>
      <c r="AZ450" t="str">
        <f t="shared" si="383"/>
        <v>1+325,560381842886i</v>
      </c>
      <c r="BA450">
        <f t="shared" si="409"/>
        <v>325.561917652673</v>
      </c>
      <c r="BB450">
        <f t="shared" si="410"/>
        <v>1.56772470963622</v>
      </c>
      <c r="BC450" s="30" t="str">
        <f t="shared" si="411"/>
        <v>-0,000305010980192077+0,01284849032678i</v>
      </c>
      <c r="BD450" s="32">
        <f t="shared" si="412"/>
        <v>-37.8205112172261</v>
      </c>
      <c r="BE450" s="31">
        <f t="shared" si="413"/>
        <v>91.3598920761572</v>
      </c>
      <c r="BF450" s="30" t="str">
        <f t="shared" si="414"/>
        <v>-0,00569572273035144-0,00637261572566933i</v>
      </c>
      <c r="BG450" s="68">
        <f t="shared" si="415"/>
        <v>-41.363709297955</v>
      </c>
      <c r="BH450" s="31">
        <f t="shared" si="416"/>
        <v>-131.789738764074</v>
      </c>
      <c r="BI450" s="30" t="str">
        <f t="shared" si="423"/>
        <v>0,00726732725981873-0,0103341987189833i</v>
      </c>
      <c r="BJ450" s="68">
        <f t="shared" si="417"/>
        <v>-37.969406951201</v>
      </c>
      <c r="BK450" s="31">
        <f t="shared" si="424"/>
        <v>-54.883930984727</v>
      </c>
      <c r="BL450" s="32">
        <f t="shared" si="418"/>
        <v>-41.363709297955</v>
      </c>
      <c r="BM450" s="31">
        <f t="shared" si="419"/>
        <v>-131.789738764074</v>
      </c>
      <c r="BO450">
        <f t="shared" si="420"/>
        <v>0</v>
      </c>
      <c r="BP450">
        <f t="shared" si="421"/>
        <v>0</v>
      </c>
    </row>
    <row r="451" spans="14:68">
      <c r="N451" s="7">
        <v>33</v>
      </c>
      <c r="O451" s="18">
        <f t="shared" si="422"/>
        <v>213796.208950223</v>
      </c>
      <c r="P451" s="86" t="str">
        <f t="shared" si="372"/>
        <v>15</v>
      </c>
      <c r="Q451" s="4" t="str">
        <f t="shared" si="373"/>
        <v>1+391,802016318632i</v>
      </c>
      <c r="R451" s="4">
        <f t="shared" si="384"/>
        <v>391.803292471293</v>
      </c>
      <c r="S451" s="4">
        <f t="shared" si="385"/>
        <v>1.56824402285839</v>
      </c>
      <c r="T451" s="4" t="str">
        <f t="shared" si="374"/>
        <v>1+0,268664239761348i</v>
      </c>
      <c r="U451" s="4">
        <f t="shared" si="386"/>
        <v>1.03546147862996</v>
      </c>
      <c r="V451" s="4">
        <f t="shared" si="387"/>
        <v>0.26246641670245</v>
      </c>
      <c r="W451" t="str">
        <f t="shared" si="375"/>
        <v>1-23,508120979118i</v>
      </c>
      <c r="X451" s="4">
        <f t="shared" si="388"/>
        <v>23.5293806116703</v>
      </c>
      <c r="Y451" s="4">
        <f t="shared" si="389"/>
        <v>-1.52828346579239</v>
      </c>
      <c r="Z451" t="str">
        <f t="shared" si="376"/>
        <v>0,674959509607198+1,24736968460626i</v>
      </c>
      <c r="AA451" s="4">
        <f t="shared" si="390"/>
        <v>1.4182741165529</v>
      </c>
      <c r="AB451" s="4">
        <f t="shared" si="391"/>
        <v>1.07480697780416</v>
      </c>
      <c r="AC451" s="67" t="str">
        <f t="shared" si="392"/>
        <v>-0,473393311731914+0,456538528180715i</v>
      </c>
      <c r="AD451" s="68">
        <f t="shared" si="393"/>
        <v>-3.63985114952945</v>
      </c>
      <c r="AE451" s="31">
        <f t="shared" si="394"/>
        <v>136.038358075649</v>
      </c>
      <c r="AF451" s="32" t="str">
        <f t="shared" si="395"/>
        <v>75,4669735059805</v>
      </c>
      <c r="AG451" s="32" t="str">
        <f t="shared" si="377"/>
        <v>1+251,872724776264i</v>
      </c>
      <c r="AH451" s="32">
        <f t="shared" si="396"/>
        <v>251.874709898036</v>
      </c>
      <c r="AI451" s="32">
        <f t="shared" si="397"/>
        <v>1.56682608846671</v>
      </c>
      <c r="AJ451" s="32" t="str">
        <f t="shared" si="378"/>
        <v>1+0,268664239761348i</v>
      </c>
      <c r="AK451" s="32">
        <f t="shared" si="398"/>
        <v>1.03546147862996</v>
      </c>
      <c r="AL451" s="32">
        <f t="shared" si="399"/>
        <v>0.26246641670245</v>
      </c>
      <c r="AM451" s="32" t="str">
        <f t="shared" si="379"/>
        <v>1-3,00375751614838i</v>
      </c>
      <c r="AN451" s="32">
        <f t="shared" si="400"/>
        <v>3.16584257596898</v>
      </c>
      <c r="AO451" s="32">
        <f t="shared" si="401"/>
        <v>-1.24942110090457</v>
      </c>
      <c r="AP451" s="30" t="str">
        <f t="shared" si="402"/>
        <v>-0,817335607660457-0,544665267383381i</v>
      </c>
      <c r="AQ451" s="32">
        <f t="shared" si="403"/>
        <v>-0.156087348261317</v>
      </c>
      <c r="AR451" s="31">
        <f t="shared" si="404"/>
        <v>-146.320860075583</v>
      </c>
      <c r="AS451" t="str">
        <f t="shared" si="380"/>
        <v>-0,000338461538461538</v>
      </c>
      <c r="AT451" t="str">
        <f t="shared" si="381"/>
        <v>0,235153749135915i</v>
      </c>
      <c r="AU451">
        <f t="shared" si="405"/>
        <v>0.235153749135915</v>
      </c>
      <c r="AV451">
        <f t="shared" si="406"/>
        <v>1.5707963267949</v>
      </c>
      <c r="AW451" t="str">
        <f t="shared" si="382"/>
        <v>1+38,1645829491234i</v>
      </c>
      <c r="AX451">
        <f t="shared" si="407"/>
        <v>38.1776818531524</v>
      </c>
      <c r="AY451">
        <f t="shared" si="408"/>
        <v>1.54460001693391</v>
      </c>
      <c r="AZ451" t="str">
        <f t="shared" si="383"/>
        <v>1+333,143657304071i</v>
      </c>
      <c r="BA451">
        <f t="shared" si="409"/>
        <v>333.145158154718</v>
      </c>
      <c r="BB451">
        <f t="shared" si="410"/>
        <v>1.56779462775403</v>
      </c>
      <c r="BC451" s="30" t="str">
        <f t="shared" si="411"/>
        <v>-0,000291292643210002+0,0125563824324545i</v>
      </c>
      <c r="BD451" s="32">
        <f t="shared" si="412"/>
        <v>-38.020372637106</v>
      </c>
      <c r="BE451" s="31">
        <f t="shared" si="413"/>
        <v>91.3289533074417</v>
      </c>
      <c r="BF451" s="30" t="str">
        <f t="shared" si="414"/>
        <v>-0,00559457636593464-0,00607709377767303i</v>
      </c>
      <c r="BG451" s="68">
        <f t="shared" si="415"/>
        <v>-41.6602237866355</v>
      </c>
      <c r="BH451" s="31">
        <f t="shared" si="416"/>
        <v>-132.63268861691</v>
      </c>
      <c r="BI451" s="30" t="str">
        <f t="shared" si="423"/>
        <v>0,00707710924448589-0,0101041214800465i</v>
      </c>
      <c r="BJ451" s="68">
        <f t="shared" si="417"/>
        <v>-38.1764599853673</v>
      </c>
      <c r="BK451" s="31">
        <f t="shared" si="424"/>
        <v>-54.9919067681409</v>
      </c>
      <c r="BL451" s="32">
        <f t="shared" si="418"/>
        <v>-41.6602237866355</v>
      </c>
      <c r="BM451" s="31">
        <f t="shared" si="419"/>
        <v>-132.63268861691</v>
      </c>
      <c r="BO451">
        <f t="shared" si="420"/>
        <v>0</v>
      </c>
      <c r="BP451">
        <f t="shared" si="421"/>
        <v>0</v>
      </c>
    </row>
    <row r="452" spans="14:68">
      <c r="N452" s="7">
        <v>34</v>
      </c>
      <c r="O452" s="18">
        <f t="shared" si="422"/>
        <v>218776.162394955</v>
      </c>
      <c r="P452" s="86" t="str">
        <f t="shared" si="372"/>
        <v>15</v>
      </c>
      <c r="Q452" s="4" t="str">
        <f t="shared" si="373"/>
        <v>1+400,928257660326i</v>
      </c>
      <c r="R452" s="4">
        <f t="shared" si="384"/>
        <v>400.929504764297</v>
      </c>
      <c r="S452" s="4">
        <f t="shared" si="385"/>
        <v>1.56830212014519</v>
      </c>
      <c r="T452" s="4" t="str">
        <f t="shared" si="374"/>
        <v>1+0,274922233824224i</v>
      </c>
      <c r="U452" s="4">
        <f t="shared" si="386"/>
        <v>1.03710280813953</v>
      </c>
      <c r="V452" s="4">
        <f t="shared" si="387"/>
        <v>0.268293910873993</v>
      </c>
      <c r="W452" t="str">
        <f t="shared" si="375"/>
        <v>1-24,0556954596196i</v>
      </c>
      <c r="X452" s="4">
        <f t="shared" si="388"/>
        <v>24.0764715863011</v>
      </c>
      <c r="Y452" s="4">
        <f t="shared" si="389"/>
        <v>-1.52925005052529</v>
      </c>
      <c r="Z452" t="str">
        <f t="shared" si="376"/>
        <v>0,659640823237233+1,27642465704104i</v>
      </c>
      <c r="AA452" s="4">
        <f t="shared" si="390"/>
        <v>1.43679710494677</v>
      </c>
      <c r="AB452" s="4">
        <f t="shared" si="391"/>
        <v>1.09380877109294</v>
      </c>
      <c r="AC452" s="67" t="str">
        <f t="shared" si="392"/>
        <v>-0,461556488415724+0,457948528895737i</v>
      </c>
      <c r="AD452" s="68">
        <f t="shared" si="393"/>
        <v>-3.73915102559358</v>
      </c>
      <c r="AE452" s="31">
        <f t="shared" si="394"/>
        <v>135.224816383117</v>
      </c>
      <c r="AF452" s="32" t="str">
        <f t="shared" si="395"/>
        <v>75,4669735059805</v>
      </c>
      <c r="AG452" s="32" t="str">
        <f t="shared" si="377"/>
        <v>1+257,73959421021i</v>
      </c>
      <c r="AH452" s="32">
        <f t="shared" si="396"/>
        <v>257.741534145437</v>
      </c>
      <c r="AI452" s="32">
        <f t="shared" si="397"/>
        <v>1.56691646120702</v>
      </c>
      <c r="AJ452" s="32" t="str">
        <f t="shared" si="378"/>
        <v>1+0,274922233824224i</v>
      </c>
      <c r="AK452" s="32">
        <f t="shared" si="398"/>
        <v>1.03710280813953</v>
      </c>
      <c r="AL452" s="32">
        <f t="shared" si="399"/>
        <v>0.268293910873993</v>
      </c>
      <c r="AM452" s="32" t="str">
        <f t="shared" si="379"/>
        <v>1-3,07372401678528i</v>
      </c>
      <c r="AN452" s="32">
        <f t="shared" si="400"/>
        <v>3.23230248141517</v>
      </c>
      <c r="AO452" s="32">
        <f t="shared" si="401"/>
        <v>-1.25625852040322</v>
      </c>
      <c r="AP452" s="30" t="str">
        <f t="shared" si="402"/>
        <v>-0,817389726747155-0,543403519806814i</v>
      </c>
      <c r="AQ452" s="32">
        <f t="shared" si="403"/>
        <v>-0.161873396405482</v>
      </c>
      <c r="AR452" s="31">
        <f t="shared" si="404"/>
        <v>-146.383902511052</v>
      </c>
      <c r="AS452" t="str">
        <f t="shared" si="380"/>
        <v>-0,000338461538461538</v>
      </c>
      <c r="AT452" t="str">
        <f t="shared" si="381"/>
        <v>0,240631183599328i</v>
      </c>
      <c r="AU452">
        <f t="shared" si="405"/>
        <v>0.240631183599328</v>
      </c>
      <c r="AV452">
        <f t="shared" si="406"/>
        <v>1.5707963267949</v>
      </c>
      <c r="AW452" t="str">
        <f t="shared" si="382"/>
        <v>1+39,0535502851555i</v>
      </c>
      <c r="AX452">
        <f t="shared" si="407"/>
        <v>39.0663511205637</v>
      </c>
      <c r="AY452">
        <f t="shared" si="408"/>
        <v>1.54519605421611</v>
      </c>
      <c r="AZ452" t="str">
        <f t="shared" si="383"/>
        <v>1+340,903569942038i</v>
      </c>
      <c r="BA452">
        <f t="shared" si="409"/>
        <v>340.905036629302</v>
      </c>
      <c r="BB452">
        <f t="shared" si="410"/>
        <v>1.56786295436954</v>
      </c>
      <c r="BC452" s="30" t="str">
        <f t="shared" si="411"/>
        <v>-0,000278190904919185+0,0122708997549136i</v>
      </c>
      <c r="BD452" s="32">
        <f t="shared" si="412"/>
        <v>-38.2202402898807</v>
      </c>
      <c r="BE452" s="31">
        <f t="shared" si="413"/>
        <v>91.2987177134358</v>
      </c>
      <c r="BF452" s="30" t="str">
        <f t="shared" si="414"/>
        <v>-0,00549103967380605-0,0057911105162392i</v>
      </c>
      <c r="BG452" s="68">
        <f t="shared" si="415"/>
        <v>-41.9593913154743</v>
      </c>
      <c r="BH452" s="31">
        <f t="shared" si="416"/>
        <v>-133.476465903447</v>
      </c>
      <c r="BI452" s="30" t="str">
        <f t="shared" si="423"/>
        <v>0,00689544050577206-0,00987893748069923i</v>
      </c>
      <c r="BJ452" s="68">
        <f t="shared" si="417"/>
        <v>-38.3821136862862</v>
      </c>
      <c r="BK452" s="31">
        <f t="shared" si="424"/>
        <v>-55.085184797616</v>
      </c>
      <c r="BL452" s="32">
        <f t="shared" si="418"/>
        <v>-41.9593913154743</v>
      </c>
      <c r="BM452" s="31">
        <f t="shared" si="419"/>
        <v>-133.476465903447</v>
      </c>
      <c r="BO452">
        <f t="shared" si="420"/>
        <v>0</v>
      </c>
      <c r="BP452">
        <f t="shared" si="421"/>
        <v>0</v>
      </c>
    </row>
    <row r="453" spans="14:68">
      <c r="N453" s="7">
        <v>35</v>
      </c>
      <c r="O453" s="18">
        <f t="shared" si="422"/>
        <v>223872.113856834</v>
      </c>
      <c r="P453" s="86" t="str">
        <f t="shared" si="372"/>
        <v>15</v>
      </c>
      <c r="Q453" s="4" t="str">
        <f t="shared" si="373"/>
        <v>1+410,267076471146i</v>
      </c>
      <c r="R453" s="4">
        <f t="shared" si="384"/>
        <v>410.268295187651</v>
      </c>
      <c r="S453" s="4">
        <f t="shared" si="385"/>
        <v>1.56835889499256</v>
      </c>
      <c r="T453" s="4" t="str">
        <f t="shared" si="374"/>
        <v>1+0,2813259952945i</v>
      </c>
      <c r="U453" s="4">
        <f t="shared" si="386"/>
        <v>1.03881871162799</v>
      </c>
      <c r="V453" s="4">
        <f t="shared" si="387"/>
        <v>0.27423787432338</v>
      </c>
      <c r="W453" t="str">
        <f t="shared" si="375"/>
        <v>1-24,6160245882688i</v>
      </c>
      <c r="X453" s="4">
        <f t="shared" si="388"/>
        <v>24.6363281868515</v>
      </c>
      <c r="Y453" s="4">
        <f t="shared" si="389"/>
        <v>-1.53019470816748</v>
      </c>
      <c r="Z453" t="str">
        <f t="shared" si="376"/>
        <v>0,643600189420601+1,30615640672446i</v>
      </c>
      <c r="AA453" s="4">
        <f t="shared" si="390"/>
        <v>1.45611323826466</v>
      </c>
      <c r="AB453" s="4">
        <f t="shared" si="391"/>
        <v>1.11297068345864</v>
      </c>
      <c r="AC453" s="67" t="str">
        <f t="shared" si="392"/>
        <v>-0,449687923194335+0,459044191882865i</v>
      </c>
      <c r="AD453" s="68">
        <f t="shared" si="393"/>
        <v>-3.84112206902793</v>
      </c>
      <c r="AE453" s="31">
        <f t="shared" si="394"/>
        <v>134.410105841274</v>
      </c>
      <c r="AF453" s="32" t="str">
        <f t="shared" si="395"/>
        <v>75,4669735059805</v>
      </c>
      <c r="AG453" s="32" t="str">
        <f t="shared" si="377"/>
        <v>1+263,743120588594i</v>
      </c>
      <c r="AH453" s="32">
        <f t="shared" si="396"/>
        <v>263.745016365826</v>
      </c>
      <c r="AI453" s="32">
        <f t="shared" si="397"/>
        <v>1.56700477687385</v>
      </c>
      <c r="AJ453" s="32" t="str">
        <f t="shared" si="378"/>
        <v>1+0,2813259952945i</v>
      </c>
      <c r="AK453" s="32">
        <f t="shared" si="398"/>
        <v>1.03881871162799</v>
      </c>
      <c r="AL453" s="32">
        <f t="shared" si="399"/>
        <v>0.27423787432338</v>
      </c>
      <c r="AM453" s="32" t="str">
        <f t="shared" si="379"/>
        <v>1-3,14532024658144i</v>
      </c>
      <c r="AN453" s="32">
        <f t="shared" si="400"/>
        <v>3.30046049113682</v>
      </c>
      <c r="AO453" s="32">
        <f t="shared" si="401"/>
        <v>-1.26296982391195</v>
      </c>
      <c r="AP453" s="30" t="str">
        <f t="shared" si="402"/>
        <v>-0,817441410145399-0,542429873063564i</v>
      </c>
      <c r="AQ453" s="32">
        <f t="shared" si="403"/>
        <v>-0.166260529921821</v>
      </c>
      <c r="AR453" s="31">
        <f t="shared" si="404"/>
        <v>-146.432927972878</v>
      </c>
      <c r="AS453" t="str">
        <f t="shared" si="380"/>
        <v>-0,000338461538461538</v>
      </c>
      <c r="AT453" t="str">
        <f t="shared" si="381"/>
        <v>0,246236203901416i</v>
      </c>
      <c r="AU453">
        <f t="shared" si="405"/>
        <v>0.246236203901416</v>
      </c>
      <c r="AV453">
        <f t="shared" si="406"/>
        <v>1.5707963267949</v>
      </c>
      <c r="AW453" t="str">
        <f t="shared" si="382"/>
        <v>1+39,9632243304838i</v>
      </c>
      <c r="AX453">
        <f t="shared" si="407"/>
        <v>39.9757338755472</v>
      </c>
      <c r="AY453">
        <f t="shared" si="408"/>
        <v>1.54577854161401</v>
      </c>
      <c r="AZ453" t="str">
        <f t="shared" si="383"/>
        <v>1+348,84423416518i</v>
      </c>
      <c r="BA453">
        <f t="shared" si="409"/>
        <v>348.845667466705</v>
      </c>
      <c r="BB453">
        <f t="shared" si="410"/>
        <v>1.56792972570786</v>
      </c>
      <c r="BC453" s="30" t="str">
        <f t="shared" si="411"/>
        <v>-0,000265678086607942+0,011991893083446i</v>
      </c>
      <c r="BD453" s="32">
        <f t="shared" si="412"/>
        <v>-38.4201138953967</v>
      </c>
      <c r="BE453" s="31">
        <f t="shared" si="413"/>
        <v>91.2691693597951</v>
      </c>
      <c r="BF453" s="30" t="str">
        <f t="shared" si="414"/>
        <v>-0,00538533664263122-0,00551456747843127i</v>
      </c>
      <c r="BG453" s="68">
        <f t="shared" si="415"/>
        <v>-42.2612359644246</v>
      </c>
      <c r="BH453" s="31">
        <f t="shared" si="416"/>
        <v>-134.320724798931</v>
      </c>
      <c r="BI453" s="30" t="str">
        <f t="shared" si="423"/>
        <v>0,00672193731280697-0,00965855826165044i</v>
      </c>
      <c r="BJ453" s="68">
        <f t="shared" si="417"/>
        <v>-38.5863744253185</v>
      </c>
      <c r="BK453" s="31">
        <f t="shared" si="424"/>
        <v>-55.1637586130827</v>
      </c>
      <c r="BL453" s="32">
        <f t="shared" si="418"/>
        <v>-42.2612359644246</v>
      </c>
      <c r="BM453" s="31">
        <f t="shared" si="419"/>
        <v>-134.320724798931</v>
      </c>
      <c r="BO453">
        <f t="shared" si="420"/>
        <v>0</v>
      </c>
      <c r="BP453">
        <f t="shared" si="421"/>
        <v>0</v>
      </c>
    </row>
    <row r="454" spans="14:68">
      <c r="N454" s="7">
        <v>36</v>
      </c>
      <c r="O454" s="18">
        <f t="shared" si="422"/>
        <v>229086.765276778</v>
      </c>
      <c r="P454" s="86" t="str">
        <f t="shared" si="372"/>
        <v>15</v>
      </c>
      <c r="Q454" s="4" t="str">
        <f t="shared" si="373"/>
        <v>1+419,823424316435i</v>
      </c>
      <c r="R454" s="4">
        <f t="shared" si="384"/>
        <v>419.824615291645</v>
      </c>
      <c r="S454" s="4">
        <f t="shared" si="385"/>
        <v>1.56841437750181</v>
      </c>
      <c r="T454" s="4" t="str">
        <f t="shared" si="374"/>
        <v>1+0,28787891953127i</v>
      </c>
      <c r="U454" s="4">
        <f t="shared" si="386"/>
        <v>1.04061245058403</v>
      </c>
      <c r="V454" s="4">
        <f t="shared" si="387"/>
        <v>0.280299777915341</v>
      </c>
      <c r="W454" t="str">
        <f t="shared" si="375"/>
        <v>1-25,1894054589861i</v>
      </c>
      <c r="X454" s="4">
        <f t="shared" si="388"/>
        <v>25.209247259234</v>
      </c>
      <c r="Y454" s="4">
        <f t="shared" si="389"/>
        <v>-1.53111793284118</v>
      </c>
      <c r="Z454" t="str">
        <f t="shared" si="376"/>
        <v>0,626803583822379+1,33658069782375i</v>
      </c>
      <c r="AA454" s="4">
        <f t="shared" si="390"/>
        <v>1.47625563317726</v>
      </c>
      <c r="AB454" s="4">
        <f t="shared" si="391"/>
        <v>1.13228718192791</v>
      </c>
      <c r="AC454" s="67" t="str">
        <f t="shared" si="392"/>
        <v>-0,437801499487681+0,459823672042602i</v>
      </c>
      <c r="AD454" s="68">
        <f t="shared" si="393"/>
        <v>-3.94578623431171</v>
      </c>
      <c r="AE454" s="31">
        <f t="shared" si="394"/>
        <v>133.594597704686</v>
      </c>
      <c r="AF454" s="32" t="str">
        <f t="shared" si="395"/>
        <v>75,4669735059805</v>
      </c>
      <c r="AG454" s="32" t="str">
        <f t="shared" si="377"/>
        <v>1+269,886487060566i</v>
      </c>
      <c r="AH454" s="32">
        <f t="shared" si="396"/>
        <v>269.888339684939</v>
      </c>
      <c r="AI454" s="32">
        <f t="shared" si="397"/>
        <v>1.56709108228781</v>
      </c>
      <c r="AJ454" s="32" t="str">
        <f t="shared" si="378"/>
        <v>1+0,28787891953127i</v>
      </c>
      <c r="AK454" s="32">
        <f t="shared" si="398"/>
        <v>1.04061245058403</v>
      </c>
      <c r="AL454" s="32">
        <f t="shared" si="399"/>
        <v>0.280299777915341</v>
      </c>
      <c r="AM454" s="32" t="str">
        <f t="shared" si="379"/>
        <v>1-3,21858416680556i</v>
      </c>
      <c r="AN454" s="32">
        <f t="shared" si="400"/>
        <v>3.37035369639619</v>
      </c>
      <c r="AO454" s="32">
        <f t="shared" si="401"/>
        <v>-1.26955615070589</v>
      </c>
      <c r="AP454" s="30" t="str">
        <f t="shared" si="402"/>
        <v>-0,817490767472918-0,541743812175086i</v>
      </c>
      <c r="AQ454" s="32">
        <f t="shared" si="403"/>
        <v>-0.169253812683271</v>
      </c>
      <c r="AR454" s="31">
        <f t="shared" si="404"/>
        <v>-146.467920144999</v>
      </c>
      <c r="AS454" t="str">
        <f t="shared" si="380"/>
        <v>-0,000338461538461538</v>
      </c>
      <c r="AT454" t="str">
        <f t="shared" si="381"/>
        <v>0,251971781898134i</v>
      </c>
      <c r="AU454">
        <f t="shared" si="405"/>
        <v>0.251971781898134</v>
      </c>
      <c r="AV454">
        <f t="shared" si="406"/>
        <v>1.5707963267949</v>
      </c>
      <c r="AW454" t="str">
        <f t="shared" si="382"/>
        <v>1+40,8940874063278i</v>
      </c>
      <c r="AX454">
        <f t="shared" si="407"/>
        <v>40.9063122854698</v>
      </c>
      <c r="AY454">
        <f t="shared" si="408"/>
        <v>1.54634778638815</v>
      </c>
      <c r="AZ454" t="str">
        <f t="shared" si="383"/>
        <v>1+356,969860218775i</v>
      </c>
      <c r="BA454">
        <f t="shared" si="409"/>
        <v>356.971260894504</v>
      </c>
      <c r="BB454">
        <f t="shared" si="410"/>
        <v>1.56799497716966</v>
      </c>
      <c r="BC454" s="30" t="str">
        <f t="shared" si="411"/>
        <v>-0,000253727748915168+0,0117192164974065i</v>
      </c>
      <c r="BD454" s="32">
        <f t="shared" si="412"/>
        <v>-38.6199931860761</v>
      </c>
      <c r="BE454" s="31">
        <f t="shared" si="413"/>
        <v>91.2402926700949</v>
      </c>
      <c r="BF454" s="30" t="str">
        <f t="shared" si="414"/>
        <v>-0,005277690774363-0,00524736058059061i</v>
      </c>
      <c r="BG454" s="68">
        <f t="shared" si="415"/>
        <v>-42.5657794203878</v>
      </c>
      <c r="BH454" s="31">
        <f t="shared" si="416"/>
        <v>-135.165109625219</v>
      </c>
      <c r="BI454" s="30" t="str">
        <f t="shared" si="423"/>
        <v>0,00655623311319999-0,00944289585069422i</v>
      </c>
      <c r="BJ454" s="68">
        <f t="shared" si="417"/>
        <v>-38.7892469987594</v>
      </c>
      <c r="BK454" s="31">
        <f t="shared" si="424"/>
        <v>-55.2276274749041</v>
      </c>
      <c r="BL454" s="32">
        <f t="shared" si="418"/>
        <v>-42.5657794203878</v>
      </c>
      <c r="BM454" s="31">
        <f t="shared" si="419"/>
        <v>-135.165109625219</v>
      </c>
      <c r="BO454">
        <f t="shared" si="420"/>
        <v>0</v>
      </c>
      <c r="BP454">
        <f t="shared" si="421"/>
        <v>0</v>
      </c>
    </row>
    <row r="455" spans="14:68">
      <c r="N455" s="7">
        <v>37</v>
      </c>
      <c r="O455" s="18">
        <f t="shared" si="422"/>
        <v>234422.881531993</v>
      </c>
      <c r="P455" s="86" t="str">
        <f t="shared" si="372"/>
        <v>15</v>
      </c>
      <c r="Q455" s="4" t="str">
        <f t="shared" si="373"/>
        <v>1+429,602368098318i</v>
      </c>
      <c r="R455" s="4">
        <f t="shared" si="384"/>
        <v>429.603531963696</v>
      </c>
      <c r="S455" s="4">
        <f t="shared" si="385"/>
        <v>1.56846859708913</v>
      </c>
      <c r="T455" s="4" t="str">
        <f t="shared" si="374"/>
        <v>1+0,294584480981704i</v>
      </c>
      <c r="U455" s="4">
        <f t="shared" si="386"/>
        <v>1.04248741787863</v>
      </c>
      <c r="V455" s="4">
        <f t="shared" si="387"/>
        <v>0.286481053016861</v>
      </c>
      <c r="W455" t="str">
        <f t="shared" si="375"/>
        <v>1-25,7761420858991i</v>
      </c>
      <c r="X455" s="4">
        <f t="shared" si="388"/>
        <v>25.7955325750886</v>
      </c>
      <c r="Y455" s="4">
        <f t="shared" si="389"/>
        <v>-1.5320202077535</v>
      </c>
      <c r="Z455" t="str">
        <f t="shared" si="376"/>
        <v>0,609215378590129+1,36771366170076i</v>
      </c>
      <c r="AA455" s="4">
        <f t="shared" si="390"/>
        <v>1.4972588413209</v>
      </c>
      <c r="AB455" s="4">
        <f t="shared" si="391"/>
        <v>1.15175255298019</v>
      </c>
      <c r="AC455" s="67" t="str">
        <f t="shared" si="392"/>
        <v>-0,425911286665542+0,460285922841847i</v>
      </c>
      <c r="AD455" s="68">
        <f t="shared" si="393"/>
        <v>-4.05316299331083</v>
      </c>
      <c r="AE455" s="31">
        <f t="shared" si="394"/>
        <v>132.778671974104</v>
      </c>
      <c r="AF455" s="32" t="str">
        <f t="shared" si="395"/>
        <v>75,4669735059805</v>
      </c>
      <c r="AG455" s="32" t="str">
        <f t="shared" si="377"/>
        <v>1+276,172950920348i</v>
      </c>
      <c r="AH455" s="32">
        <f t="shared" si="396"/>
        <v>276.174761374121</v>
      </c>
      <c r="AI455" s="32">
        <f t="shared" si="397"/>
        <v>1.56717542320405</v>
      </c>
      <c r="AJ455" s="32" t="str">
        <f t="shared" si="378"/>
        <v>1+0,294584480981704i</v>
      </c>
      <c r="AK455" s="32">
        <f t="shared" si="398"/>
        <v>1.04248741787863</v>
      </c>
      <c r="AL455" s="32">
        <f t="shared" si="399"/>
        <v>0.286481053016861</v>
      </c>
      <c r="AM455" s="32" t="str">
        <f t="shared" si="379"/>
        <v>1-3,29355462295792i</v>
      </c>
      <c r="AN455" s="32">
        <f t="shared" si="400"/>
        <v>3.44202005432965</v>
      </c>
      <c r="AO455" s="32">
        <f t="shared" si="401"/>
        <v>-1.27601870642257</v>
      </c>
      <c r="AP455" s="30" t="str">
        <f t="shared" si="402"/>
        <v>-0,817537903414387-0,541344974560422i</v>
      </c>
      <c r="AQ455" s="32">
        <f t="shared" si="403"/>
        <v>-0.170856709406858</v>
      </c>
      <c r="AR455" s="31">
        <f t="shared" si="404"/>
        <v>-146.488868715647</v>
      </c>
      <c r="AS455" t="str">
        <f t="shared" si="380"/>
        <v>-0,000338461538461538</v>
      </c>
      <c r="AT455" t="str">
        <f t="shared" si="381"/>
        <v>0,257840958668856i</v>
      </c>
      <c r="AU455">
        <f t="shared" si="405"/>
        <v>0.257840958668856</v>
      </c>
      <c r="AV455">
        <f t="shared" si="406"/>
        <v>1.5707963267949</v>
      </c>
      <c r="AW455" t="str">
        <f t="shared" si="382"/>
        <v>1+41,8466330686119i</v>
      </c>
      <c r="AX455">
        <f t="shared" si="407"/>
        <v>41.8585797558761</v>
      </c>
      <c r="AY455">
        <f t="shared" si="408"/>
        <v>1.54690408888315</v>
      </c>
      <c r="AZ455" t="str">
        <f t="shared" si="383"/>
        <v>1+365,284756417313i</v>
      </c>
      <c r="BA455">
        <f t="shared" si="409"/>
        <v>365.28612520989</v>
      </c>
      <c r="BB455">
        <f t="shared" si="410"/>
        <v>1.5680587433499</v>
      </c>
      <c r="BC455" s="30" t="str">
        <f t="shared" si="411"/>
        <v>-0,000242314636612047+0,0114527272983978i</v>
      </c>
      <c r="BD455" s="32">
        <f t="shared" si="412"/>
        <v>-38.8198779063544</v>
      </c>
      <c r="BE455" s="31">
        <f t="shared" si="413"/>
        <v>91.2120724180024</v>
      </c>
      <c r="BF455" s="30" t="str">
        <f t="shared" si="414"/>
        <v>-0,00516832461494171-0,00498937983562125i</v>
      </c>
      <c r="BG455" s="68">
        <f t="shared" si="415"/>
        <v>-42.8730408996652</v>
      </c>
      <c r="BH455" s="31">
        <f t="shared" si="416"/>
        <v>-136.009255607894</v>
      </c>
      <c r="BI455" s="30" t="str">
        <f t="shared" si="423"/>
        <v>0,00639797776798104-0,00923186285311649i</v>
      </c>
      <c r="BJ455" s="68">
        <f t="shared" si="417"/>
        <v>-38.9907346157613</v>
      </c>
      <c r="BK455" s="31">
        <f t="shared" si="424"/>
        <v>-55.2767962976447</v>
      </c>
      <c r="BL455" s="32">
        <f t="shared" si="418"/>
        <v>-42.8730408996652</v>
      </c>
      <c r="BM455" s="31">
        <f t="shared" si="419"/>
        <v>-136.009255607894</v>
      </c>
      <c r="BO455">
        <f t="shared" si="420"/>
        <v>0</v>
      </c>
      <c r="BP455">
        <f t="shared" si="421"/>
        <v>0</v>
      </c>
    </row>
    <row r="456" spans="14:68">
      <c r="N456" s="7">
        <v>38</v>
      </c>
      <c r="O456" s="18">
        <f t="shared" si="422"/>
        <v>239883.291901949</v>
      </c>
      <c r="P456" s="86" t="str">
        <f t="shared" si="372"/>
        <v>15</v>
      </c>
      <c r="Q456" s="4" t="str">
        <f t="shared" si="373"/>
        <v>1+439,609092742225i</v>
      </c>
      <c r="R456" s="4">
        <f t="shared" si="384"/>
        <v>439.610230114862</v>
      </c>
      <c r="S456" s="4">
        <f t="shared" si="385"/>
        <v>1.56852158250119</v>
      </c>
      <c r="T456" s="4" t="str">
        <f t="shared" si="374"/>
        <v>1+0,30144623502324i</v>
      </c>
      <c r="U456" s="4">
        <f t="shared" si="386"/>
        <v>1.04444714208508</v>
      </c>
      <c r="V456" s="4">
        <f t="shared" si="387"/>
        <v>0.292783086896285</v>
      </c>
      <c r="W456" t="str">
        <f t="shared" si="375"/>
        <v>1-26,3765455645335i</v>
      </c>
      <c r="X456" s="4">
        <f t="shared" si="388"/>
        <v>26.3954949928565</v>
      </c>
      <c r="Y456" s="4">
        <f t="shared" si="389"/>
        <v>-1.53290200542286</v>
      </c>
      <c r="Z456" t="str">
        <f t="shared" si="376"/>
        <v>0,590798266782464+1,39957180546504i</v>
      </c>
      <c r="AA456" s="4">
        <f t="shared" si="390"/>
        <v>1.51915892212956</v>
      </c>
      <c r="AB456" s="4">
        <f t="shared" si="391"/>
        <v>1.17136091131687</v>
      </c>
      <c r="AC456" s="67" t="str">
        <f t="shared" si="392"/>
        <v>-0,414031480789491+0,460430712962222i</v>
      </c>
      <c r="AD456" s="68">
        <f t="shared" si="393"/>
        <v>-4.1632692652402</v>
      </c>
      <c r="AE456" s="31">
        <f t="shared" si="394"/>
        <v>131.962716616546</v>
      </c>
      <c r="AF456" s="32" t="str">
        <f t="shared" si="395"/>
        <v>75,4669735059805</v>
      </c>
      <c r="AG456" s="32" t="str">
        <f t="shared" si="377"/>
        <v>1+282,605845334288i</v>
      </c>
      <c r="AH456" s="32">
        <f t="shared" si="396"/>
        <v>282.607614577363</v>
      </c>
      <c r="AI456" s="32">
        <f t="shared" si="397"/>
        <v>1.56725784433642</v>
      </c>
      <c r="AJ456" s="32" t="str">
        <f t="shared" si="378"/>
        <v>1+0,30144623502324i</v>
      </c>
      <c r="AK456" s="32">
        <f t="shared" si="398"/>
        <v>1.04444714208508</v>
      </c>
      <c r="AL456" s="32">
        <f t="shared" si="399"/>
        <v>0.292783086896285</v>
      </c>
      <c r="AM456" s="32" t="str">
        <f t="shared" si="379"/>
        <v>1-3,37027136536671i</v>
      </c>
      <c r="AN456" s="32">
        <f t="shared" si="400"/>
        <v>3.515498410782</v>
      </c>
      <c r="AO456" s="32">
        <f t="shared" si="401"/>
        <v>-1.28235875755549</v>
      </c>
      <c r="AP456" s="30" t="str">
        <f t="shared" si="402"/>
        <v>-0,8175829179434-0,541233149849621i</v>
      </c>
      <c r="AQ456" s="32">
        <f t="shared" si="403"/>
        <v>-0.171071077811088</v>
      </c>
      <c r="AR456" s="31">
        <f t="shared" si="404"/>
        <v>-146.495769326849</v>
      </c>
      <c r="AS456" t="str">
        <f t="shared" si="380"/>
        <v>-0,000338461538461538</v>
      </c>
      <c r="AT456" t="str">
        <f t="shared" si="381"/>
        <v>0,263846846128791i</v>
      </c>
      <c r="AU456">
        <f t="shared" si="405"/>
        <v>0.263846846128791</v>
      </c>
      <c r="AV456">
        <f t="shared" si="406"/>
        <v>1.5707963267949</v>
      </c>
      <c r="AW456" t="str">
        <f t="shared" si="382"/>
        <v>1+42,8213663696545i</v>
      </c>
      <c r="AX456">
        <f t="shared" si="407"/>
        <v>42.8330411921005</v>
      </c>
      <c r="AY456">
        <f t="shared" si="408"/>
        <v>1.54744774267988</v>
      </c>
      <c r="AZ456" t="str">
        <f t="shared" si="383"/>
        <v>1+373,793331428818i</v>
      </c>
      <c r="BA456">
        <f t="shared" si="409"/>
        <v>373.794669063985</v>
      </c>
      <c r="BB456">
        <f t="shared" si="410"/>
        <v>1.56812105805618</v>
      </c>
      <c r="BC456" s="30" t="str">
        <f t="shared" si="411"/>
        <v>-0,000231414625819701+0,0111922859435274i</v>
      </c>
      <c r="BD456" s="32">
        <f t="shared" si="412"/>
        <v>-39.0197678121423</v>
      </c>
      <c r="BE456" s="31">
        <f t="shared" si="413"/>
        <v>91.1844937196052</v>
      </c>
      <c r="BF456" s="30" t="str">
        <f t="shared" si="414"/>
        <v>-0,0050574592564509-0,00474050912377411i</v>
      </c>
      <c r="BG456" s="68">
        <f t="shared" si="415"/>
        <v>-43.1830370773825</v>
      </c>
      <c r="BH456" s="31">
        <f t="shared" si="416"/>
        <v>-136.852789663849</v>
      </c>
      <c r="BI456" s="30" t="str">
        <f t="shared" si="423"/>
        <v>0,00624683682026542-0,00902537253331236i</v>
      </c>
      <c r="BJ456" s="68">
        <f t="shared" si="417"/>
        <v>-39.1908388899534</v>
      </c>
      <c r="BK456" s="31">
        <f t="shared" si="424"/>
        <v>-55.3112756072436</v>
      </c>
      <c r="BL456" s="32">
        <f t="shared" si="418"/>
        <v>-43.1830370773825</v>
      </c>
      <c r="BM456" s="31">
        <f t="shared" si="419"/>
        <v>-136.852789663849</v>
      </c>
      <c r="BO456">
        <f t="shared" si="420"/>
        <v>0</v>
      </c>
      <c r="BP456">
        <f t="shared" si="421"/>
        <v>0</v>
      </c>
    </row>
    <row r="457" spans="14:68">
      <c r="N457" s="7">
        <v>39</v>
      </c>
      <c r="O457" s="18">
        <f t="shared" si="422"/>
        <v>245470.891568503</v>
      </c>
      <c r="P457" s="86" t="str">
        <f t="shared" si="372"/>
        <v>15</v>
      </c>
      <c r="Q457" s="4" t="str">
        <f t="shared" si="373"/>
        <v>1+449,848903946018i</v>
      </c>
      <c r="R457" s="4">
        <f t="shared" si="384"/>
        <v>449.850015428958</v>
      </c>
      <c r="S457" s="4">
        <f t="shared" si="385"/>
        <v>1.56857336183036</v>
      </c>
      <c r="T457" s="4" t="str">
        <f t="shared" si="374"/>
        <v>1+0,308467819848698i</v>
      </c>
      <c r="U457" s="4">
        <f t="shared" si="386"/>
        <v>1.0464952918586</v>
      </c>
      <c r="V457" s="4">
        <f t="shared" si="387"/>
        <v>0.299207217908944</v>
      </c>
      <c r="W457" t="str">
        <f t="shared" si="375"/>
        <v>1-26,9909342367611i</v>
      </c>
      <c r="X457" s="4">
        <f t="shared" si="388"/>
        <v>27.0094526226127</v>
      </c>
      <c r="Y457" s="4">
        <f t="shared" si="389"/>
        <v>-1.53376378790166</v>
      </c>
      <c r="Z457" t="str">
        <f t="shared" si="376"/>
        <v>0,571513183236011+1,43217202072609i</v>
      </c>
      <c r="AA457" s="4">
        <f t="shared" si="390"/>
        <v>1.54199351994851</v>
      </c>
      <c r="AB457" s="4">
        <f t="shared" si="391"/>
        <v>1.19110620888732</v>
      </c>
      <c r="AC457" s="67" t="str">
        <f t="shared" si="392"/>
        <v>-0,402176343796194+0,460258637820587i</v>
      </c>
      <c r="AD457" s="68">
        <f t="shared" si="393"/>
        <v>-4.27611935384762</v>
      </c>
      <c r="AE457" s="31">
        <f t="shared" si="394"/>
        <v>131.147126758672</v>
      </c>
      <c r="AF457" s="32" t="str">
        <f t="shared" si="395"/>
        <v>75,4669735059805</v>
      </c>
      <c r="AG457" s="32" t="str">
        <f t="shared" si="377"/>
        <v>1+289,188581108155i</v>
      </c>
      <c r="AH457" s="32">
        <f t="shared" si="396"/>
        <v>289.190310078585</v>
      </c>
      <c r="AI457" s="32">
        <f t="shared" si="397"/>
        <v>1.56733838938123</v>
      </c>
      <c r="AJ457" s="32" t="str">
        <f t="shared" si="378"/>
        <v>1+0,308467819848698i</v>
      </c>
      <c r="AK457" s="32">
        <f t="shared" si="398"/>
        <v>1.0464952918586</v>
      </c>
      <c r="AL457" s="32">
        <f t="shared" si="399"/>
        <v>0.299207217908944</v>
      </c>
      <c r="AM457" s="32" t="str">
        <f t="shared" si="379"/>
        <v>1-3,44877507026424i</v>
      </c>
      <c r="AN457" s="32">
        <f t="shared" si="400"/>
        <v>3.59082852351322</v>
      </c>
      <c r="AO457" s="32">
        <f t="shared" si="401"/>
        <v>-1.2885776261523</v>
      </c>
      <c r="AP457" s="30" t="str">
        <f t="shared" si="402"/>
        <v>-0,817625906534464-0,541408279777404i</v>
      </c>
      <c r="AQ457" s="32">
        <f t="shared" si="403"/>
        <v>-0.169897164414759</v>
      </c>
      <c r="AR457" s="31">
        <f t="shared" si="404"/>
        <v>-146.488623547856</v>
      </c>
      <c r="AS457" t="str">
        <f t="shared" si="380"/>
        <v>-0,000338461538461538</v>
      </c>
      <c r="AT457" t="str">
        <f t="shared" si="381"/>
        <v>0,26999262867897i</v>
      </c>
      <c r="AU457">
        <f t="shared" si="405"/>
        <v>0.26999262867897</v>
      </c>
      <c r="AV457">
        <f t="shared" si="406"/>
        <v>1.5707963267949</v>
      </c>
      <c r="AW457" t="str">
        <f t="shared" si="382"/>
        <v>1+43,8188041259541i</v>
      </c>
      <c r="AX457">
        <f t="shared" si="407"/>
        <v>43.8302132669775</v>
      </c>
      <c r="AY457">
        <f t="shared" si="408"/>
        <v>1.54797903474458</v>
      </c>
      <c r="AZ457" t="str">
        <f t="shared" si="383"/>
        <v>1+382,500096612385i</v>
      </c>
      <c r="BA457">
        <f t="shared" si="409"/>
        <v>382.501403799364</v>
      </c>
      <c r="BB457">
        <f t="shared" si="410"/>
        <v>1.56818195432665</v>
      </c>
      <c r="BC457" s="30" t="str">
        <f t="shared" si="411"/>
        <v>-0,000221004673557531+0,0109377559797462i</v>
      </c>
      <c r="BD457" s="32">
        <f t="shared" si="412"/>
        <v>-39.2196626703113</v>
      </c>
      <c r="BE457" s="31">
        <f t="shared" si="413"/>
        <v>91.1575420258948</v>
      </c>
      <c r="BF457" s="30" t="str">
        <f t="shared" si="414"/>
        <v>-0,00494531381647873-0,00450062601927286i</v>
      </c>
      <c r="BG457" s="68">
        <f t="shared" si="415"/>
        <v>-43.4957820241589</v>
      </c>
      <c r="BH457" s="31">
        <f t="shared" si="416"/>
        <v>-137.695331215433</v>
      </c>
      <c r="BI457" s="30" t="str">
        <f t="shared" si="423"/>
        <v>0,00610249079618523-0,00882333888825919i</v>
      </c>
      <c r="BJ457" s="68">
        <f t="shared" si="417"/>
        <v>-39.389559834726</v>
      </c>
      <c r="BK457" s="31">
        <f t="shared" si="424"/>
        <v>-55.3310815219613</v>
      </c>
      <c r="BL457" s="32">
        <f t="shared" si="418"/>
        <v>-43.4957820241589</v>
      </c>
      <c r="BM457" s="31">
        <f t="shared" si="419"/>
        <v>-137.695331215433</v>
      </c>
      <c r="BO457">
        <f t="shared" si="420"/>
        <v>0</v>
      </c>
      <c r="BP457">
        <f t="shared" si="421"/>
        <v>0</v>
      </c>
    </row>
    <row r="458" spans="14:68">
      <c r="N458" s="7">
        <v>40</v>
      </c>
      <c r="O458" s="18">
        <f t="shared" si="422"/>
        <v>251188.643150958</v>
      </c>
      <c r="P458" s="86" t="str">
        <f t="shared" si="372"/>
        <v>15</v>
      </c>
      <c r="Q458" s="4" t="str">
        <f t="shared" si="373"/>
        <v>1+460,32723099314i</v>
      </c>
      <c r="R458" s="4">
        <f t="shared" si="384"/>
        <v>460.3283171757</v>
      </c>
      <c r="S458" s="4">
        <f t="shared" si="385"/>
        <v>1.56862396252962</v>
      </c>
      <c r="T458" s="4" t="str">
        <f t="shared" si="374"/>
        <v>1+0,315652958395296i</v>
      </c>
      <c r="U458" s="4">
        <f t="shared" si="386"/>
        <v>1.04863568036936</v>
      </c>
      <c r="V458" s="4">
        <f t="shared" si="387"/>
        <v>0.305754730470297</v>
      </c>
      <c r="W458" t="str">
        <f t="shared" si="375"/>
        <v>1-27,6196338595884i</v>
      </c>
      <c r="X458" s="4">
        <f t="shared" si="388"/>
        <v>27.637730994742</v>
      </c>
      <c r="Y458" s="4">
        <f t="shared" si="389"/>
        <v>-1.53460600699532</v>
      </c>
      <c r="Z458" t="str">
        <f t="shared" si="376"/>
        <v>0,55131922170297+1,46553159254958i</v>
      </c>
      <c r="AA458" s="4">
        <f t="shared" si="390"/>
        <v>1.56580194564321</v>
      </c>
      <c r="AB458" s="4">
        <f t="shared" si="391"/>
        <v>1.21098224410322</v>
      </c>
      <c r="AC458" s="67" t="str">
        <f t="shared" si="392"/>
        <v>-0,390360141637928+0,459771125804406i</v>
      </c>
      <c r="AD458" s="68">
        <f t="shared" si="393"/>
        <v>-4.39172489202817</v>
      </c>
      <c r="AE458" s="31">
        <f t="shared" si="394"/>
        <v>130.332303857423</v>
      </c>
      <c r="AF458" s="32" t="str">
        <f t="shared" si="395"/>
        <v>75,4669735059805</v>
      </c>
      <c r="AG458" s="32" t="str">
        <f t="shared" si="377"/>
        <v>1+295,92464849559i</v>
      </c>
      <c r="AH458" s="32">
        <f t="shared" si="396"/>
        <v>295.926338110075</v>
      </c>
      <c r="AI458" s="32">
        <f t="shared" si="397"/>
        <v>1.56741710104033</v>
      </c>
      <c r="AJ458" s="32" t="str">
        <f t="shared" si="378"/>
        <v>1+0,315652958395296i</v>
      </c>
      <c r="AK458" s="32">
        <f t="shared" si="398"/>
        <v>1.04863568036936</v>
      </c>
      <c r="AL458" s="32">
        <f t="shared" si="399"/>
        <v>0.305754730470297</v>
      </c>
      <c r="AM458" s="32" t="str">
        <f t="shared" si="379"/>
        <v>1-3,52910736135397i</v>
      </c>
      <c r="AN458" s="32">
        <f t="shared" si="400"/>
        <v>3.66805108578967</v>
      </c>
      <c r="AO458" s="32">
        <f t="shared" si="401"/>
        <v>-1.29467668472195</v>
      </c>
      <c r="AP458" s="30" t="str">
        <f t="shared" si="402"/>
        <v>-0,817666960365445-0,541870458157192i</v>
      </c>
      <c r="AQ458" s="32">
        <f t="shared" si="403"/>
        <v>-0.167333603959684</v>
      </c>
      <c r="AR458" s="31">
        <f t="shared" si="404"/>
        <v>-146.46743887269</v>
      </c>
      <c r="AS458" t="str">
        <f t="shared" si="380"/>
        <v>-0,000338461538461538</v>
      </c>
      <c r="AT458" t="str">
        <f t="shared" si="381"/>
        <v>0,27628156489465i</v>
      </c>
      <c r="AU458">
        <f t="shared" si="405"/>
        <v>0.27628156489465</v>
      </c>
      <c r="AV458">
        <f t="shared" si="406"/>
        <v>1.5707963267949</v>
      </c>
      <c r="AW458" t="str">
        <f t="shared" si="382"/>
        <v>1+44,839475192212i</v>
      </c>
      <c r="AX458">
        <f t="shared" si="407"/>
        <v>44.850624694791</v>
      </c>
      <c r="AY458">
        <f t="shared" si="408"/>
        <v>1.54849824557491</v>
      </c>
      <c r="AZ458" t="str">
        <f t="shared" si="383"/>
        <v>1+391,409668410167i</v>
      </c>
      <c r="BA458">
        <f t="shared" si="409"/>
        <v>391.410945842036</v>
      </c>
      <c r="BB458">
        <f t="shared" si="410"/>
        <v>1.56824146444751</v>
      </c>
      <c r="BC458" s="30" t="str">
        <f t="shared" si="411"/>
        <v>-0,000211062769521185+0,0106890039792719i</v>
      </c>
      <c r="BD458" s="32">
        <f t="shared" si="412"/>
        <v>-39.4195622582027</v>
      </c>
      <c r="BE458" s="31">
        <f t="shared" si="413"/>
        <v>91.1312031154028</v>
      </c>
      <c r="BF458" s="30" t="str">
        <f t="shared" si="414"/>
        <v>-0,00483210490067283-0,00426960167447511i</v>
      </c>
      <c r="BG458" s="68">
        <f t="shared" si="415"/>
        <v>-43.8112871502309</v>
      </c>
      <c r="BH458" s="31">
        <f t="shared" si="416"/>
        <v>-138.536493027175</v>
      </c>
      <c r="BI458" s="30" t="str">
        <f t="shared" si="423"/>
        <v>0,00596463453669281-0,00862567671344503i</v>
      </c>
      <c r="BJ458" s="68">
        <f t="shared" si="417"/>
        <v>-39.5868958621624</v>
      </c>
      <c r="BK458" s="31">
        <f t="shared" si="424"/>
        <v>-55.3362357572877</v>
      </c>
      <c r="BL458" s="32">
        <f t="shared" si="418"/>
        <v>-43.8112871502309</v>
      </c>
      <c r="BM458" s="31">
        <f t="shared" si="419"/>
        <v>-138.536493027175</v>
      </c>
      <c r="BO458">
        <f t="shared" si="420"/>
        <v>0</v>
      </c>
      <c r="BP458">
        <f t="shared" si="421"/>
        <v>0</v>
      </c>
    </row>
    <row r="459" spans="14:68">
      <c r="N459" s="7">
        <v>41</v>
      </c>
      <c r="O459" s="18">
        <f t="shared" si="422"/>
        <v>257039.578276887</v>
      </c>
      <c r="P459" s="86" t="str">
        <f t="shared" si="372"/>
        <v>15</v>
      </c>
      <c r="Q459" s="4" t="str">
        <f t="shared" si="373"/>
        <v>1+471,049629631283i</v>
      </c>
      <c r="R459" s="4">
        <f t="shared" si="384"/>
        <v>471.050691089366</v>
      </c>
      <c r="S459" s="4">
        <f t="shared" si="385"/>
        <v>1.56867341142709</v>
      </c>
      <c r="T459" s="4" t="str">
        <f t="shared" si="374"/>
        <v>1+0,323005460318594i</v>
      </c>
      <c r="U459" s="4">
        <f t="shared" si="386"/>
        <v>1.05087226978145</v>
      </c>
      <c r="V459" s="4">
        <f t="shared" si="387"/>
        <v>0.312426849819012</v>
      </c>
      <c r="W459" t="str">
        <f t="shared" si="375"/>
        <v>1-28,262977777877i</v>
      </c>
      <c r="X459" s="4">
        <f t="shared" si="388"/>
        <v>28.2806632325476</v>
      </c>
      <c r="Y459" s="4">
        <f t="shared" si="389"/>
        <v>-1.53542910447749</v>
      </c>
      <c r="Z459" t="str">
        <f t="shared" si="376"/>
        <v>0,530173548083485+1,49966820862204i</v>
      </c>
      <c r="AA459" s="4">
        <f t="shared" si="390"/>
        <v>1.59062526291992</v>
      </c>
      <c r="AB459" s="4">
        <f t="shared" si="391"/>
        <v>1.23098267117317</v>
      </c>
      <c r="AC459" s="67" t="str">
        <f t="shared" si="392"/>
        <v>-0,378597081913013+0,458970439124248i</v>
      </c>
      <c r="AD459" s="68">
        <f t="shared" si="393"/>
        <v>-4.51009479400671</v>
      </c>
      <c r="AE459" s="31">
        <f t="shared" si="394"/>
        <v>129.518654851961</v>
      </c>
      <c r="AF459" s="32" t="str">
        <f t="shared" si="395"/>
        <v>75,4669735059805</v>
      </c>
      <c r="AG459" s="32" t="str">
        <f t="shared" si="377"/>
        <v>1+302,817619048682i</v>
      </c>
      <c r="AH459" s="32">
        <f t="shared" si="396"/>
        <v>302.819270203058</v>
      </c>
      <c r="AI459" s="32">
        <f t="shared" si="397"/>
        <v>1.56749402104378</v>
      </c>
      <c r="AJ459" s="32" t="str">
        <f t="shared" si="378"/>
        <v>1+0,323005460318594i</v>
      </c>
      <c r="AK459" s="32">
        <f t="shared" si="398"/>
        <v>1.05087226978145</v>
      </c>
      <c r="AL459" s="32">
        <f t="shared" si="399"/>
        <v>0.312426849819012</v>
      </c>
      <c r="AM459" s="32" t="str">
        <f t="shared" si="379"/>
        <v>1-3,61131083187993i</v>
      </c>
      <c r="AN459" s="32">
        <f t="shared" si="400"/>
        <v>3.74720775037271</v>
      </c>
      <c r="AO459" s="32">
        <f t="shared" si="401"/>
        <v>-1.30065735135372</v>
      </c>
      <c r="AP459" s="30" t="str">
        <f t="shared" si="402"/>
        <v>-0,817706166510906-0,542619930935403i</v>
      </c>
      <c r="AQ459" s="32">
        <f t="shared" si="403"/>
        <v>-0.163377422455465</v>
      </c>
      <c r="AR459" s="31">
        <f t="shared" si="404"/>
        <v>-146.432228741835</v>
      </c>
      <c r="AS459" t="str">
        <f t="shared" si="380"/>
        <v>-0,000338461538461538</v>
      </c>
      <c r="AT459" t="str">
        <f t="shared" si="381"/>
        <v>0,282716989253056i</v>
      </c>
      <c r="AU459">
        <f t="shared" si="405"/>
        <v>0.282716989253056</v>
      </c>
      <c r="AV459">
        <f t="shared" si="406"/>
        <v>1.5707963267949</v>
      </c>
      <c r="AW459" t="str">
        <f t="shared" si="382"/>
        <v>1+45,8839207417371i</v>
      </c>
      <c r="AX459">
        <f t="shared" si="407"/>
        <v>45.8948165116063</v>
      </c>
      <c r="AY459">
        <f t="shared" si="408"/>
        <v>1.54900564934293</v>
      </c>
      <c r="AZ459" t="str">
        <f t="shared" si="383"/>
        <v>1+400,526770795056i</v>
      </c>
      <c r="BA459">
        <f t="shared" si="409"/>
        <v>400.528019149117</v>
      </c>
      <c r="BB459">
        <f t="shared" si="410"/>
        <v>1.56829961997012</v>
      </c>
      <c r="BC459" s="30" t="str">
        <f t="shared" si="411"/>
        <v>-0,000201567889993509+0,0104458994761003i</v>
      </c>
      <c r="BD459" s="32">
        <f t="shared" si="412"/>
        <v>-39.6194663631586</v>
      </c>
      <c r="BE459" s="31">
        <f t="shared" si="413"/>
        <v>91.1054630869872</v>
      </c>
      <c r="BF459" s="30" t="str">
        <f t="shared" si="414"/>
        <v>-0,0047180460546346-0,00404730076259191i</v>
      </c>
      <c r="BG459" s="68">
        <f t="shared" si="415"/>
        <v>-44.1295611571653</v>
      </c>
      <c r="BH459" s="31">
        <f t="shared" si="416"/>
        <v>-139.375882061052</v>
      </c>
      <c r="BI459" s="30" t="str">
        <f t="shared" si="423"/>
        <v>0,00583297655889799-0,00843230166181318i</v>
      </c>
      <c r="BJ459" s="68">
        <f t="shared" si="417"/>
        <v>-39.7828437856141</v>
      </c>
      <c r="BK459" s="31">
        <f t="shared" si="424"/>
        <v>-55.3267656548475</v>
      </c>
      <c r="BL459" s="32">
        <f t="shared" si="418"/>
        <v>-44.1295611571653</v>
      </c>
      <c r="BM459" s="31">
        <f t="shared" si="419"/>
        <v>-139.375882061052</v>
      </c>
      <c r="BO459">
        <f t="shared" si="420"/>
        <v>0</v>
      </c>
      <c r="BP459">
        <f t="shared" si="421"/>
        <v>0</v>
      </c>
    </row>
    <row r="460" spans="14:68">
      <c r="N460" s="7">
        <v>42</v>
      </c>
      <c r="O460" s="18">
        <f t="shared" si="422"/>
        <v>263026.799189539</v>
      </c>
      <c r="P460" s="86" t="str">
        <f t="shared" si="372"/>
        <v>15</v>
      </c>
      <c r="Q460" s="4" t="str">
        <f t="shared" si="373"/>
        <v>1+482,021785018136i</v>
      </c>
      <c r="R460" s="4">
        <f t="shared" si="384"/>
        <v>482.022822314535</v>
      </c>
      <c r="S460" s="4">
        <f t="shared" si="385"/>
        <v>1.56872173474027</v>
      </c>
      <c r="T460" s="4" t="str">
        <f t="shared" si="374"/>
        <v>1+0,330529224012436i</v>
      </c>
      <c r="U460" s="4">
        <f t="shared" si="386"/>
        <v>1.05320917577007</v>
      </c>
      <c r="V460" s="4">
        <f t="shared" si="387"/>
        <v>0.319224736573907</v>
      </c>
      <c r="W460" t="str">
        <f t="shared" si="375"/>
        <v>1-28,9213071010882i</v>
      </c>
      <c r="X460" s="4">
        <f t="shared" si="388"/>
        <v>28.9385902288874</v>
      </c>
      <c r="Y460" s="4">
        <f t="shared" si="389"/>
        <v>-1.5362335123017</v>
      </c>
      <c r="Z460" t="str">
        <f t="shared" si="376"/>
        <v>0,508031309568755+1,53459996862916i</v>
      </c>
      <c r="AA460" s="4">
        <f t="shared" si="390"/>
        <v>1.61650637957874</v>
      </c>
      <c r="AB460" s="4">
        <f t="shared" si="391"/>
        <v>1.25110100949189</v>
      </c>
      <c r="AC460" s="67" t="str">
        <f t="shared" si="392"/>
        <v>-0,366901251527264+0,457859669246821i</v>
      </c>
      <c r="AD460" s="68">
        <f t="shared" si="393"/>
        <v>-4.63123521516374</v>
      </c>
      <c r="AE460" s="31">
        <f t="shared" si="394"/>
        <v>128.706591300914</v>
      </c>
      <c r="AF460" s="32" t="str">
        <f t="shared" si="395"/>
        <v>75,4669735059805</v>
      </c>
      <c r="AG460" s="32" t="str">
        <f t="shared" si="377"/>
        <v>1+309,871147511659i</v>
      </c>
      <c r="AH460" s="32">
        <f t="shared" si="396"/>
        <v>309.872761081371</v>
      </c>
      <c r="AI460" s="32">
        <f t="shared" si="397"/>
        <v>1.56756919017196</v>
      </c>
      <c r="AJ460" s="32" t="str">
        <f t="shared" si="378"/>
        <v>1+0,330529224012436i</v>
      </c>
      <c r="AK460" s="32">
        <f t="shared" si="398"/>
        <v>1.05320917577007</v>
      </c>
      <c r="AL460" s="32">
        <f t="shared" si="399"/>
        <v>0.319224736573907</v>
      </c>
      <c r="AM460" s="32" t="str">
        <f t="shared" si="379"/>
        <v>1-3,69542906721031i</v>
      </c>
      <c r="AN460" s="32">
        <f t="shared" si="400"/>
        <v>3.82834115391809</v>
      </c>
      <c r="AO460" s="32">
        <f t="shared" si="401"/>
        <v>-1.3065210850496</v>
      </c>
      <c r="AP460" s="30" t="str">
        <f t="shared" si="402"/>
        <v>-0,817743608126768-0,543657096326128i</v>
      </c>
      <c r="AQ460" s="32">
        <f t="shared" si="403"/>
        <v>-0.158024043858152</v>
      </c>
      <c r="AR460" s="31">
        <f t="shared" si="404"/>
        <v>-146.383012587928</v>
      </c>
      <c r="AS460" t="str">
        <f t="shared" si="380"/>
        <v>-0,000338461538461538</v>
      </c>
      <c r="AT460" t="str">
        <f t="shared" si="381"/>
        <v>0,289302313901366i</v>
      </c>
      <c r="AU460">
        <f t="shared" si="405"/>
        <v>0.289302313901366</v>
      </c>
      <c r="AV460">
        <f t="shared" si="406"/>
        <v>1.5707963267949</v>
      </c>
      <c r="AW460" t="str">
        <f t="shared" si="382"/>
        <v>1+46,9526945533851i</v>
      </c>
      <c r="AX460">
        <f t="shared" si="407"/>
        <v>46.963342362139</v>
      </c>
      <c r="AY460">
        <f t="shared" si="408"/>
        <v>1.54950151403515</v>
      </c>
      <c r="AZ460" t="str">
        <f t="shared" si="383"/>
        <v>1+409,856237775421i</v>
      </c>
      <c r="BA460">
        <f t="shared" si="409"/>
        <v>409.85745771356</v>
      </c>
      <c r="BB460">
        <f t="shared" si="410"/>
        <v>1.56835645172773</v>
      </c>
      <c r="BC460" s="30" t="str">
        <f t="shared" si="411"/>
        <v>-0,000192499953795641+0,0102083149036051i</v>
      </c>
      <c r="BD460" s="32">
        <f t="shared" si="412"/>
        <v>-39.8193747820731</v>
      </c>
      <c r="BE460" s="31">
        <f t="shared" si="413"/>
        <v>91.0803083527673</v>
      </c>
      <c r="BF460" s="30" t="str">
        <f t="shared" si="414"/>
        <v>-0,00460334721136546-0,00383358147929203i</v>
      </c>
      <c r="BG460" s="68">
        <f t="shared" si="415"/>
        <v>-44.4506099972368</v>
      </c>
      <c r="BH460" s="31">
        <f t="shared" si="416"/>
        <v>-140.213100346319</v>
      </c>
      <c r="BI460" s="30" t="str">
        <f t="shared" si="423"/>
        <v>0,00570723844565777-0,00824313029624484i</v>
      </c>
      <c r="BJ460" s="68">
        <f t="shared" si="417"/>
        <v>-39.9773988259312</v>
      </c>
      <c r="BK460" s="31">
        <f t="shared" si="424"/>
        <v>-55.3027042351606</v>
      </c>
      <c r="BL460" s="32">
        <f t="shared" si="418"/>
        <v>-44.4506099972368</v>
      </c>
      <c r="BM460" s="31">
        <f t="shared" si="419"/>
        <v>-140.213100346319</v>
      </c>
      <c r="BO460">
        <f t="shared" si="420"/>
        <v>0</v>
      </c>
      <c r="BP460">
        <f t="shared" si="421"/>
        <v>0</v>
      </c>
    </row>
    <row r="461" spans="14:68">
      <c r="N461" s="7">
        <v>43</v>
      </c>
      <c r="O461" s="18">
        <f t="shared" si="422"/>
        <v>269153.480392691</v>
      </c>
      <c r="P461" s="86" t="str">
        <f t="shared" si="372"/>
        <v>15</v>
      </c>
      <c r="Q461" s="4" t="str">
        <f t="shared" si="373"/>
        <v>1+493,249514735719i</v>
      </c>
      <c r="R461" s="4">
        <f t="shared" si="384"/>
        <v>493.250528420419</v>
      </c>
      <c r="S461" s="4">
        <f t="shared" si="385"/>
        <v>1.56876895808991</v>
      </c>
      <c r="T461" s="4" t="str">
        <f t="shared" si="374"/>
        <v>1+0,338228238675922i</v>
      </c>
      <c r="U461" s="4">
        <f t="shared" si="386"/>
        <v>1.05565067206809</v>
      </c>
      <c r="V461" s="4">
        <f t="shared" si="387"/>
        <v>0.326149481090261</v>
      </c>
      <c r="W461" t="str">
        <f t="shared" si="375"/>
        <v>1-29,5949708841432i</v>
      </c>
      <c r="X461" s="4">
        <f t="shared" si="388"/>
        <v>29.6118608269268</v>
      </c>
      <c r="Y461" s="4">
        <f t="shared" si="389"/>
        <v>-1.53701965280915</v>
      </c>
      <c r="Z461" t="str">
        <f t="shared" si="376"/>
        <v>0,484845539502226+1,57034539385249i</v>
      </c>
      <c r="AA461" s="4">
        <f t="shared" si="390"/>
        <v>1.64349014392206</v>
      </c>
      <c r="AB461" s="4">
        <f t="shared" si="391"/>
        <v>1.27133065302115</v>
      </c>
      <c r="AC461" s="67" t="str">
        <f t="shared" si="392"/>
        <v>-0,355286554928608+0,45644272693388i</v>
      </c>
      <c r="AD461" s="68">
        <f t="shared" si="393"/>
        <v>-4.75514951951245</v>
      </c>
      <c r="AE461" s="31">
        <f t="shared" si="394"/>
        <v>127.896528508816</v>
      </c>
      <c r="AF461" s="32" t="str">
        <f t="shared" si="395"/>
        <v>75,4669735059805</v>
      </c>
      <c r="AG461" s="32" t="str">
        <f t="shared" si="377"/>
        <v>1+317,088973758677i</v>
      </c>
      <c r="AH461" s="32">
        <f t="shared" si="396"/>
        <v>317.090550599243</v>
      </c>
      <c r="AI461" s="32">
        <f t="shared" si="397"/>
        <v>1.56764264827711</v>
      </c>
      <c r="AJ461" s="32" t="str">
        <f t="shared" si="378"/>
        <v>1+0,338228238675922i</v>
      </c>
      <c r="AK461" s="32">
        <f t="shared" si="398"/>
        <v>1.05565067206809</v>
      </c>
      <c r="AL461" s="32">
        <f t="shared" si="399"/>
        <v>0.326149481090261</v>
      </c>
      <c r="AM461" s="32" t="str">
        <f t="shared" si="379"/>
        <v>1-3,78150666794692i</v>
      </c>
      <c r="AN461" s="32">
        <f t="shared" si="400"/>
        <v>3.9114949418</v>
      </c>
      <c r="AO461" s="32">
        <f t="shared" si="401"/>
        <v>-1.31226938127014</v>
      </c>
      <c r="AP461" s="30" t="str">
        <f t="shared" si="402"/>
        <v>-0,817779364626635-0,544982505026247i</v>
      </c>
      <c r="AQ461" s="32">
        <f t="shared" si="403"/>
        <v>-0.151267300409992</v>
      </c>
      <c r="AR461" s="31">
        <f t="shared" si="404"/>
        <v>-146.319815905159</v>
      </c>
      <c r="AS461" t="str">
        <f t="shared" si="380"/>
        <v>-0,000338461538461538</v>
      </c>
      <c r="AT461" t="str">
        <f t="shared" si="381"/>
        <v>0,296041030465874i</v>
      </c>
      <c r="AU461">
        <f t="shared" si="405"/>
        <v>0.296041030465874</v>
      </c>
      <c r="AV461">
        <f t="shared" si="406"/>
        <v>1.5707963267949</v>
      </c>
      <c r="AW461" t="str">
        <f t="shared" si="382"/>
        <v>1+48,0463633051778i</v>
      </c>
      <c r="AX461">
        <f t="shared" si="407"/>
        <v>48.0567687933046</v>
      </c>
      <c r="AY461">
        <f t="shared" si="408"/>
        <v>1.54998610158964</v>
      </c>
      <c r="AZ461" t="str">
        <f t="shared" si="383"/>
        <v>1+419,403015958143i</v>
      </c>
      <c r="BA461">
        <f t="shared" si="409"/>
        <v>419.404208127179</v>
      </c>
      <c r="BB461">
        <f t="shared" si="410"/>
        <v>1.56841198985184</v>
      </c>
      <c r="BC461" s="30" t="str">
        <f t="shared" si="411"/>
        <v>-0,000183839780189538+0,00997612553322412i</v>
      </c>
      <c r="BD461" s="32">
        <f t="shared" si="412"/>
        <v>-40.0192873209646</v>
      </c>
      <c r="BE461" s="31">
        <f t="shared" si="413"/>
        <v>91.0557256312039</v>
      </c>
      <c r="BF461" s="30" t="str">
        <f t="shared" si="414"/>
        <v>-0,00448821414045715-0,00362829560282316i</v>
      </c>
      <c r="BG461" s="68">
        <f t="shared" si="415"/>
        <v>-44.774436840477</v>
      </c>
      <c r="BH461" s="31">
        <f t="shared" si="416"/>
        <v>-141.04774585998</v>
      </c>
      <c r="BI461" s="30" t="str">
        <f t="shared" si="423"/>
        <v>0,00558715426218929-0,0080580801360644i</v>
      </c>
      <c r="BJ461" s="68">
        <f t="shared" si="417"/>
        <v>-40.1705546213746</v>
      </c>
      <c r="BK461" s="31">
        <f t="shared" si="424"/>
        <v>-55.2640902739552</v>
      </c>
      <c r="BL461" s="32">
        <f t="shared" si="418"/>
        <v>-44.774436840477</v>
      </c>
      <c r="BM461" s="31">
        <f t="shared" si="419"/>
        <v>-141.04774585998</v>
      </c>
      <c r="BO461">
        <f t="shared" si="420"/>
        <v>0</v>
      </c>
      <c r="BP461">
        <f t="shared" si="421"/>
        <v>0</v>
      </c>
    </row>
    <row r="462" spans="14:68">
      <c r="N462" s="7">
        <v>44</v>
      </c>
      <c r="O462" s="18">
        <f t="shared" si="422"/>
        <v>275422.870333817</v>
      </c>
      <c r="P462" s="86" t="str">
        <f t="shared" si="372"/>
        <v>15</v>
      </c>
      <c r="Q462" s="4" t="str">
        <f t="shared" si="373"/>
        <v>1+504,738771874945i</v>
      </c>
      <c r="R462" s="4">
        <f t="shared" si="384"/>
        <v>504.73976248541</v>
      </c>
      <c r="S462" s="4">
        <f t="shared" si="385"/>
        <v>1.56881510651361</v>
      </c>
      <c r="T462" s="4" t="str">
        <f t="shared" si="374"/>
        <v>1+0,346106586428534i</v>
      </c>
      <c r="U462" s="4">
        <f t="shared" si="386"/>
        <v>1.05820119503297</v>
      </c>
      <c r="V462" s="4">
        <f t="shared" si="387"/>
        <v>0.333202097622887</v>
      </c>
      <c r="W462" t="str">
        <f t="shared" si="375"/>
        <v>1-30,2843263124967i</v>
      </c>
      <c r="X462" s="4">
        <f t="shared" si="388"/>
        <v>30.300832005108</v>
      </c>
      <c r="Y462" s="4">
        <f t="shared" si="389"/>
        <v>-1.53778793893296</v>
      </c>
      <c r="Z462" t="str">
        <f t="shared" si="376"/>
        <v>0,460567057757019+1,60692343698962i</v>
      </c>
      <c r="AA462" s="4">
        <f t="shared" si="390"/>
        <v>1.67162344654455</v>
      </c>
      <c r="AB462" s="4">
        <f t="shared" si="391"/>
        <v>1.29166487960415</v>
      </c>
      <c r="AC462" s="67" t="str">
        <f t="shared" si="392"/>
        <v>-0,343766653449907+0,454724326973558i</v>
      </c>
      <c r="AD462" s="68">
        <f t="shared" si="393"/>
        <v>-4.88183825477494</v>
      </c>
      <c r="AE462" s="31">
        <f t="shared" si="394"/>
        <v>127.088884645529</v>
      </c>
      <c r="AF462" s="32" t="str">
        <f t="shared" si="395"/>
        <v>75,4669735059805</v>
      </c>
      <c r="AG462" s="32" t="str">
        <f t="shared" si="377"/>
        <v>1+324,474924776751i</v>
      </c>
      <c r="AH462" s="32">
        <f t="shared" si="396"/>
        <v>324.476465724216</v>
      </c>
      <c r="AI462" s="32">
        <f t="shared" si="397"/>
        <v>1.56771443430454</v>
      </c>
      <c r="AJ462" s="32" t="str">
        <f t="shared" si="378"/>
        <v>1+0,346106586428534i</v>
      </c>
      <c r="AK462" s="32">
        <f t="shared" si="398"/>
        <v>1.05820119503297</v>
      </c>
      <c r="AL462" s="32">
        <f t="shared" si="399"/>
        <v>0.333202097622887</v>
      </c>
      <c r="AM462" s="32" t="str">
        <f t="shared" si="379"/>
        <v>1-3,86958927357304i</v>
      </c>
      <c r="AN462" s="32">
        <f t="shared" si="400"/>
        <v>3.99671379337469</v>
      </c>
      <c r="AO462" s="32">
        <f t="shared" si="401"/>
        <v>-1.31790376769291</v>
      </c>
      <c r="AP462" s="30" t="str">
        <f t="shared" si="402"/>
        <v>-0,817813511850199-0,546596860511121i</v>
      </c>
      <c r="AQ462" s="32">
        <f t="shared" si="403"/>
        <v>-0.143099446680488</v>
      </c>
      <c r="AR462" s="31">
        <f t="shared" si="404"/>
        <v>-146.242670341885</v>
      </c>
      <c r="AS462" t="str">
        <f t="shared" si="380"/>
        <v>-0,000338461538461538</v>
      </c>
      <c r="AT462" t="str">
        <f t="shared" si="381"/>
        <v>0,302936711903303i</v>
      </c>
      <c r="AU462">
        <f t="shared" si="405"/>
        <v>0.302936711903303</v>
      </c>
      <c r="AV462">
        <f t="shared" si="406"/>
        <v>1.5707963267949</v>
      </c>
      <c r="AW462" t="str">
        <f t="shared" si="382"/>
        <v>1+49,1655068747637i</v>
      </c>
      <c r="AX462">
        <f t="shared" si="407"/>
        <v>49.1756755546117</v>
      </c>
      <c r="AY462">
        <f t="shared" si="408"/>
        <v>1.55045966803027</v>
      </c>
      <c r="AZ462" t="str">
        <f t="shared" si="383"/>
        <v>1+429,172167171382i</v>
      </c>
      <c r="BA462">
        <f t="shared" si="409"/>
        <v>429.173332203412</v>
      </c>
      <c r="BB462">
        <f t="shared" si="410"/>
        <v>1.56846626378811</v>
      </c>
      <c r="BC462" s="30" t="str">
        <f t="shared" si="411"/>
        <v>-0,000175569048646753+0,00974920941423107i</v>
      </c>
      <c r="BD462" s="32">
        <f t="shared" si="412"/>
        <v>-40.2192037945665</v>
      </c>
      <c r="BE462" s="31">
        <f t="shared" si="413"/>
        <v>91.0317019403227</v>
      </c>
      <c r="BF462" s="30" t="str">
        <f t="shared" si="414"/>
        <v>-0,00437284790510782-0,00343128861159583i</v>
      </c>
      <c r="BG462" s="68">
        <f t="shared" si="415"/>
        <v>-45.1010420493414</v>
      </c>
      <c r="BH462" s="31">
        <f t="shared" si="416"/>
        <v>-141.879413414148</v>
      </c>
      <c r="BI462" s="30" t="str">
        <f t="shared" si="423"/>
        <v>0,00547246999853017-0,00787706969802209i</v>
      </c>
      <c r="BJ462" s="68">
        <f t="shared" si="417"/>
        <v>-40.362303241247</v>
      </c>
      <c r="BK462" s="31">
        <f t="shared" si="424"/>
        <v>-55.2109684015626</v>
      </c>
      <c r="BL462" s="32">
        <f t="shared" si="418"/>
        <v>-45.1010420493414</v>
      </c>
      <c r="BM462" s="31">
        <f t="shared" si="419"/>
        <v>-141.879413414148</v>
      </c>
      <c r="BO462">
        <f t="shared" si="420"/>
        <v>0</v>
      </c>
      <c r="BP462">
        <f t="shared" si="421"/>
        <v>0</v>
      </c>
    </row>
    <row r="463" spans="14:68">
      <c r="N463" s="7">
        <v>45</v>
      </c>
      <c r="O463" s="18">
        <f t="shared" si="422"/>
        <v>281838.293126446</v>
      </c>
      <c r="P463" s="86" t="str">
        <f t="shared" si="372"/>
        <v>15</v>
      </c>
      <c r="Q463" s="4" t="str">
        <f t="shared" si="373"/>
        <v>1+516,495648192026i</v>
      </c>
      <c r="R463" s="4">
        <f t="shared" si="384"/>
        <v>516.496616253486</v>
      </c>
      <c r="S463" s="4">
        <f t="shared" si="385"/>
        <v>1.5688602044791</v>
      </c>
      <c r="T463" s="4" t="str">
        <f t="shared" si="374"/>
        <v>1+0,354168444474532i</v>
      </c>
      <c r="U463" s="4">
        <f t="shared" si="386"/>
        <v>1.06086534822357</v>
      </c>
      <c r="V463" s="4">
        <f t="shared" si="387"/>
        <v>0.340383518305243</v>
      </c>
      <c r="W463" t="str">
        <f t="shared" si="375"/>
        <v>1-30,9897388915216i</v>
      </c>
      <c r="X463" s="4">
        <f t="shared" si="388"/>
        <v>31.0058690664314</v>
      </c>
      <c r="Y463" s="4">
        <f t="shared" si="389"/>
        <v>-1.53853877439859</v>
      </c>
      <c r="Z463" t="str">
        <f t="shared" si="376"/>
        <v>0,435144366418283+1,64435349220318i</v>
      </c>
      <c r="AA463" s="4">
        <f t="shared" si="390"/>
        <v>1.70095532773391</v>
      </c>
      <c r="AB463" s="4">
        <f t="shared" si="391"/>
        <v>1.31209686016023</v>
      </c>
      <c r="AC463" s="67" t="str">
        <f t="shared" si="392"/>
        <v>-0,332354906280069+0,452709967750335i</v>
      </c>
      <c r="AD463" s="68">
        <f t="shared" si="393"/>
        <v>-5.01129913495098</v>
      </c>
      <c r="AE463" s="31">
        <f t="shared" si="394"/>
        <v>126.284079862203</v>
      </c>
      <c r="AF463" s="32" t="str">
        <f t="shared" si="395"/>
        <v>75,4669735059805</v>
      </c>
      <c r="AG463" s="32" t="str">
        <f t="shared" si="377"/>
        <v>1+332,032916694874i</v>
      </c>
      <c r="AH463" s="32">
        <f t="shared" si="396"/>
        <v>332.034422566253</v>
      </c>
      <c r="AI463" s="32">
        <f t="shared" si="397"/>
        <v>1.56778458631318</v>
      </c>
      <c r="AJ463" s="32" t="str">
        <f t="shared" si="378"/>
        <v>1+0,354168444474532i</v>
      </c>
      <c r="AK463" s="32">
        <f t="shared" si="398"/>
        <v>1.06086534822357</v>
      </c>
      <c r="AL463" s="32">
        <f t="shared" si="399"/>
        <v>0.340383518305243</v>
      </c>
      <c r="AM463" s="32" t="str">
        <f t="shared" si="379"/>
        <v>1-3,95972358665207i</v>
      </c>
      <c r="AN463" s="32">
        <f t="shared" si="400"/>
        <v>4.08404344769846</v>
      </c>
      <c r="AO463" s="32">
        <f t="shared" si="401"/>
        <v>-1.32342580018154</v>
      </c>
      <c r="AP463" s="30" t="str">
        <f t="shared" si="402"/>
        <v>-0,817846122224078-0,548501019411057i</v>
      </c>
      <c r="AQ463" s="32">
        <f t="shared" si="403"/>
        <v>-0.13351117736236</v>
      </c>
      <c r="AR463" s="31">
        <f t="shared" si="404"/>
        <v>-146.151613815831</v>
      </c>
      <c r="AS463" t="str">
        <f t="shared" si="380"/>
        <v>-0,000338461538461538</v>
      </c>
      <c r="AT463" t="str">
        <f t="shared" si="381"/>
        <v>0,309993014395223i</v>
      </c>
      <c r="AU463">
        <f t="shared" si="405"/>
        <v>0.309993014395223</v>
      </c>
      <c r="AV463">
        <f t="shared" si="406"/>
        <v>1.5707963267949</v>
      </c>
      <c r="AW463" t="str">
        <f t="shared" si="382"/>
        <v>1+50,3107186468769i</v>
      </c>
      <c r="AX463">
        <f t="shared" si="407"/>
        <v>50.3206559055544</v>
      </c>
      <c r="AY463">
        <f t="shared" si="408"/>
        <v>1.5509224635981</v>
      </c>
      <c r="AZ463" t="str">
        <f t="shared" si="383"/>
        <v>1+439,168871148419i</v>
      </c>
      <c r="BA463">
        <f t="shared" si="409"/>
        <v>439.170009661152</v>
      </c>
      <c r="BB463">
        <f t="shared" si="410"/>
        <v>1.56851930231203</v>
      </c>
      <c r="BC463" s="30" t="str">
        <f t="shared" si="411"/>
        <v>-0,00016767026040201+0,00952744731458712i</v>
      </c>
      <c r="BD463" s="32">
        <f t="shared" si="412"/>
        <v>-40.4191240259359</v>
      </c>
      <c r="BE463" s="31">
        <f t="shared" si="413"/>
        <v>91.0082245910802</v>
      </c>
      <c r="BF463" s="30" t="str">
        <f t="shared" si="414"/>
        <v>-0,00425744433284789-0,00324239985750718i</v>
      </c>
      <c r="BG463" s="68">
        <f t="shared" si="415"/>
        <v>-45.4304231608869</v>
      </c>
      <c r="BH463" s="31">
        <f t="shared" si="416"/>
        <v>-142.707695546717</v>
      </c>
      <c r="BI463" s="30" t="str">
        <f t="shared" si="423"/>
        <v>0,00536294303671826-0,00770001853217386i</v>
      </c>
      <c r="BJ463" s="68">
        <f t="shared" si="417"/>
        <v>-40.5526352032983</v>
      </c>
      <c r="BK463" s="31">
        <f t="shared" si="424"/>
        <v>-55.1433892247504</v>
      </c>
      <c r="BL463" s="32">
        <f t="shared" si="418"/>
        <v>-45.4304231608869</v>
      </c>
      <c r="BM463" s="31">
        <f t="shared" si="419"/>
        <v>-142.707695546717</v>
      </c>
      <c r="BO463">
        <f t="shared" si="420"/>
        <v>0</v>
      </c>
      <c r="BP463">
        <f t="shared" si="421"/>
        <v>0</v>
      </c>
    </row>
    <row r="464" spans="14:68">
      <c r="N464" s="7">
        <v>46</v>
      </c>
      <c r="O464" s="18">
        <f t="shared" si="422"/>
        <v>288403.150312661</v>
      </c>
      <c r="P464" s="86" t="str">
        <f t="shared" si="372"/>
        <v>15</v>
      </c>
      <c r="Q464" s="4" t="str">
        <f t="shared" si="373"/>
        <v>1+528,526377338406i</v>
      </c>
      <c r="R464" s="4">
        <f t="shared" si="384"/>
        <v>528.527323364137</v>
      </c>
      <c r="S464" s="4">
        <f t="shared" si="385"/>
        <v>1.56890427589717</v>
      </c>
      <c r="T464" s="4" t="str">
        <f t="shared" si="374"/>
        <v>1+0,362418087317764i</v>
      </c>
      <c r="U464" s="4">
        <f t="shared" si="386"/>
        <v>1.0636479069763</v>
      </c>
      <c r="V464" s="4">
        <f t="shared" si="387"/>
        <v>0.347694586955997</v>
      </c>
      <c r="W464" t="str">
        <f t="shared" si="375"/>
        <v>1-31,7115826403044i</v>
      </c>
      <c r="X464" s="4">
        <f t="shared" si="388"/>
        <v>31.7273458321501</v>
      </c>
      <c r="Y464" s="4">
        <f t="shared" si="389"/>
        <v>-1.53927255392071</v>
      </c>
      <c r="Z464" t="str">
        <f t="shared" si="376"/>
        <v>0,408523540549206+1,6826554054039i</v>
      </c>
      <c r="AA464" s="4">
        <f t="shared" si="390"/>
        <v>1.73153709071386</v>
      </c>
      <c r="AB464" s="4">
        <f t="shared" si="391"/>
        <v>1.33261966771331</v>
      </c>
      <c r="AC464" s="67" t="str">
        <f t="shared" si="392"/>
        <v>-0,32106431356154+0,450405905856684i</v>
      </c>
      <c r="AD464" s="68">
        <f t="shared" si="393"/>
        <v>-5.14352703022221</v>
      </c>
      <c r="AE464" s="31">
        <f t="shared" si="394"/>
        <v>125.482535407107</v>
      </c>
      <c r="AF464" s="32" t="str">
        <f t="shared" si="395"/>
        <v>75,4669735059805</v>
      </c>
      <c r="AG464" s="32" t="str">
        <f t="shared" si="377"/>
        <v>1+339,766956860404i</v>
      </c>
      <c r="AH464" s="32">
        <f t="shared" si="396"/>
        <v>339.768428454116</v>
      </c>
      <c r="AI464" s="32">
        <f t="shared" si="397"/>
        <v>1.5678531414958</v>
      </c>
      <c r="AJ464" s="32" t="str">
        <f t="shared" si="378"/>
        <v>1+0,362418087317764i</v>
      </c>
      <c r="AK464" s="32">
        <f t="shared" si="398"/>
        <v>1.0636479069763</v>
      </c>
      <c r="AL464" s="32">
        <f t="shared" si="399"/>
        <v>0.347694586955997</v>
      </c>
      <c r="AM464" s="32" t="str">
        <f t="shared" si="379"/>
        <v>1-4,05195739758987i</v>
      </c>
      <c r="AN464" s="32">
        <f t="shared" si="400"/>
        <v>4.17353072971594</v>
      </c>
      <c r="AO464" s="32">
        <f t="shared" si="401"/>
        <v>-1.32883705896264</v>
      </c>
      <c r="AP464" s="30" t="str">
        <f t="shared" si="402"/>
        <v>-0,817877264915383-0,550695991968749i</v>
      </c>
      <c r="AQ464" s="32">
        <f t="shared" si="403"/>
        <v>-0.122491648888466</v>
      </c>
      <c r="AR464" s="31">
        <f t="shared" si="404"/>
        <v>-146.04669065105</v>
      </c>
      <c r="AS464" t="str">
        <f t="shared" si="380"/>
        <v>-0,000338461538461538</v>
      </c>
      <c r="AT464" t="str">
        <f t="shared" si="381"/>
        <v>0,317213679286619i</v>
      </c>
      <c r="AU464">
        <f t="shared" si="405"/>
        <v>0.317213679286619</v>
      </c>
      <c r="AV464">
        <f t="shared" si="406"/>
        <v>1.5707963267949</v>
      </c>
      <c r="AW464" t="str">
        <f t="shared" si="382"/>
        <v>1+51,4826058279579i</v>
      </c>
      <c r="AX464">
        <f t="shared" si="407"/>
        <v>51.4923169301682</v>
      </c>
      <c r="AY464">
        <f t="shared" si="408"/>
        <v>1.55137473288006</v>
      </c>
      <c r="AZ464" t="str">
        <f t="shared" si="383"/>
        <v>1+449,398428274027i</v>
      </c>
      <c r="BA464">
        <f t="shared" si="409"/>
        <v>449.399540871111</v>
      </c>
      <c r="BB464">
        <f t="shared" si="410"/>
        <v>1.56857113354412</v>
      </c>
      <c r="BC464" s="30" t="str">
        <f t="shared" si="411"/>
        <v>-0,000160126701713469+0,00931072266286711i</v>
      </c>
      <c r="BD464" s="32">
        <f t="shared" si="412"/>
        <v>-40.6190478460811</v>
      </c>
      <c r="BE464" s="31">
        <f t="shared" si="413"/>
        <v>90.9852811808665</v>
      </c>
      <c r="BF464" s="30" t="str">
        <f t="shared" si="414"/>
        <v>-0,00414219350558051-0,0030614627926524i</v>
      </c>
      <c r="BG464" s="68">
        <f t="shared" si="415"/>
        <v>-45.7625748763033</v>
      </c>
      <c r="BH464" s="31">
        <f t="shared" si="416"/>
        <v>-143.532183412026</v>
      </c>
      <c r="BI464" s="30" t="str">
        <f t="shared" si="423"/>
        <v>0,00525834164161085-0,00752684725305064i</v>
      </c>
      <c r="BJ464" s="68">
        <f t="shared" si="417"/>
        <v>-40.7415394949696</v>
      </c>
      <c r="BK464" s="31">
        <f t="shared" si="424"/>
        <v>-55.0614094701834</v>
      </c>
      <c r="BL464" s="32">
        <f t="shared" si="418"/>
        <v>-45.7625748763033</v>
      </c>
      <c r="BM464" s="31">
        <f t="shared" si="419"/>
        <v>-143.532183412026</v>
      </c>
      <c r="BO464">
        <f t="shared" si="420"/>
        <v>0</v>
      </c>
      <c r="BP464">
        <f t="shared" si="421"/>
        <v>0</v>
      </c>
    </row>
    <row r="465" spans="14:68">
      <c r="N465" s="7">
        <v>47</v>
      </c>
      <c r="O465" s="18">
        <f t="shared" si="422"/>
        <v>295120.922666639</v>
      </c>
      <c r="P465" s="86" t="str">
        <f t="shared" si="372"/>
        <v>15</v>
      </c>
      <c r="Q465" s="4" t="str">
        <f t="shared" si="373"/>
        <v>1+540,837338165924i</v>
      </c>
      <c r="R465" s="4">
        <f t="shared" si="384"/>
        <v>540.838262657518</v>
      </c>
      <c r="S465" s="4">
        <f t="shared" si="385"/>
        <v>1.56894734413439</v>
      </c>
      <c r="T465" s="4" t="str">
        <f t="shared" si="374"/>
        <v>1+0,370859889028062i</v>
      </c>
      <c r="U465" s="4">
        <f t="shared" si="386"/>
        <v>1.06655382296905</v>
      </c>
      <c r="V465" s="4">
        <f t="shared" si="387"/>
        <v>0.355136052726674</v>
      </c>
      <c r="W465" t="str">
        <f t="shared" si="375"/>
        <v>1-32,4502402899555i</v>
      </c>
      <c r="X465" s="4">
        <f t="shared" si="388"/>
        <v>32.465644839982</v>
      </c>
      <c r="Y465" s="4">
        <f t="shared" si="389"/>
        <v>-1.53998966339641</v>
      </c>
      <c r="Z465" t="str">
        <f t="shared" si="376"/>
        <v>0,380648113809005+1,72184948477314i</v>
      </c>
      <c r="AA465" s="4">
        <f t="shared" si="390"/>
        <v>1.76342242096438</v>
      </c>
      <c r="AB465" s="4">
        <f t="shared" si="391"/>
        <v>1.35322628621435</v>
      </c>
      <c r="AC465" s="67" t="str">
        <f t="shared" si="392"/>
        <v>-0,309907462083248+0,447819126002725i</v>
      </c>
      <c r="AD465" s="68">
        <f t="shared" si="393"/>
        <v>-5.27851396399177</v>
      </c>
      <c r="AE465" s="31">
        <f t="shared" si="394"/>
        <v>124.684672744382</v>
      </c>
      <c r="AF465" s="32" t="str">
        <f t="shared" si="395"/>
        <v>75,4669735059805</v>
      </c>
      <c r="AG465" s="32" t="str">
        <f t="shared" si="377"/>
        <v>1+347,681145963808i</v>
      </c>
      <c r="AH465" s="32">
        <f t="shared" si="396"/>
        <v>347.682584060097</v>
      </c>
      <c r="AI465" s="32">
        <f t="shared" si="397"/>
        <v>1.56792013619867</v>
      </c>
      <c r="AJ465" s="32" t="str">
        <f t="shared" si="378"/>
        <v>1+0,370859889028062i</v>
      </c>
      <c r="AK465" s="32">
        <f t="shared" si="398"/>
        <v>1.06655382296905</v>
      </c>
      <c r="AL465" s="32">
        <f t="shared" si="399"/>
        <v>0.355136052726674</v>
      </c>
      <c r="AM465" s="32" t="str">
        <f t="shared" si="379"/>
        <v>1-4,14633960997387i</v>
      </c>
      <c r="AN465" s="32">
        <f t="shared" si="400"/>
        <v>4.26522357693454</v>
      </c>
      <c r="AO465" s="32">
        <f t="shared" si="401"/>
        <v>-1.33413914500697</v>
      </c>
      <c r="AP465" s="30" t="str">
        <f t="shared" si="402"/>
        <v>-0,817907005978425-0,553182942577919i</v>
      </c>
      <c r="AQ465" s="32">
        <f t="shared" si="403"/>
        <v>-0.110028504945688</v>
      </c>
      <c r="AR465" s="31">
        <f t="shared" si="404"/>
        <v>-145.927951735678</v>
      </c>
      <c r="AS465" t="str">
        <f t="shared" si="380"/>
        <v>-0,000338461538461538</v>
      </c>
      <c r="AT465" t="str">
        <f t="shared" si="381"/>
        <v>0,324602535069592i</v>
      </c>
      <c r="AU465">
        <f t="shared" si="405"/>
        <v>0.324602535069592</v>
      </c>
      <c r="AV465">
        <f t="shared" si="406"/>
        <v>1.5707963267949</v>
      </c>
      <c r="AW465" t="str">
        <f t="shared" si="382"/>
        <v>1+52,6817897681015i</v>
      </c>
      <c r="AX465">
        <f t="shared" si="407"/>
        <v>52.6912798589145</v>
      </c>
      <c r="AY465">
        <f t="shared" si="408"/>
        <v>1.55181671493479</v>
      </c>
      <c r="AZ465" t="str">
        <f t="shared" si="383"/>
        <v>1+459,866262394797i</v>
      </c>
      <c r="BA465">
        <f t="shared" si="409"/>
        <v>459.86734966614</v>
      </c>
      <c r="BB465">
        <f t="shared" si="410"/>
        <v>1.56862178496488</v>
      </c>
      <c r="BC465" s="30" t="str">
        <f t="shared" si="411"/>
        <v>-0,000152922408755021+0,00909892149125549i</v>
      </c>
      <c r="BD465" s="32">
        <f t="shared" si="412"/>
        <v>-40.8189750936038</v>
      </c>
      <c r="BE465" s="31">
        <f t="shared" si="413"/>
        <v>90.9628595871461</v>
      </c>
      <c r="BF465" s="30" t="str">
        <f t="shared" si="414"/>
        <v>-0,00402727927418852-0,00288830524648462i</v>
      </c>
      <c r="BG465" s="68">
        <f t="shared" si="415"/>
        <v>-46.0974890575956</v>
      </c>
      <c r="BH465" s="31">
        <f t="shared" si="416"/>
        <v>-144.352467668472</v>
      </c>
      <c r="BI465" s="30" t="str">
        <f t="shared" si="423"/>
        <v>0,00515844447431001-0,00735747756648432i</v>
      </c>
      <c r="BJ465" s="68">
        <f t="shared" si="417"/>
        <v>-40.9290035985495</v>
      </c>
      <c r="BK465" s="31">
        <f t="shared" si="424"/>
        <v>-54.9650921485322</v>
      </c>
      <c r="BL465" s="32">
        <f t="shared" si="418"/>
        <v>-46.0974890575956</v>
      </c>
      <c r="BM465" s="31">
        <f t="shared" si="419"/>
        <v>-144.352467668472</v>
      </c>
      <c r="BO465">
        <f t="shared" si="420"/>
        <v>0</v>
      </c>
      <c r="BP465">
        <f t="shared" si="421"/>
        <v>0</v>
      </c>
    </row>
    <row r="466" spans="14:68">
      <c r="N466" s="7">
        <v>48</v>
      </c>
      <c r="O466" s="18">
        <f t="shared" si="422"/>
        <v>301995.172040202</v>
      </c>
      <c r="P466" s="86" t="str">
        <f t="shared" si="372"/>
        <v>15</v>
      </c>
      <c r="Q466" s="4" t="str">
        <f t="shared" si="373"/>
        <v>1+553,435058108966i</v>
      </c>
      <c r="R466" s="4">
        <f t="shared" si="384"/>
        <v>553.435961556597</v>
      </c>
      <c r="S466" s="4">
        <f t="shared" si="385"/>
        <v>1.56898943202548</v>
      </c>
      <c r="T466" s="4" t="str">
        <f t="shared" si="374"/>
        <v>1+0,379498325560434i</v>
      </c>
      <c r="U466" s="4">
        <f t="shared" si="386"/>
        <v>1.06958822876057</v>
      </c>
      <c r="V466" s="4">
        <f t="shared" si="387"/>
        <v>0.362708563606433</v>
      </c>
      <c r="W466" t="str">
        <f t="shared" si="375"/>
        <v>1-33,206103486538i</v>
      </c>
      <c r="X466" s="4">
        <f t="shared" si="388"/>
        <v>33.2211575469409</v>
      </c>
      <c r="Y466" s="4">
        <f t="shared" si="389"/>
        <v>-1.54069048009476</v>
      </c>
      <c r="Z466" t="str">
        <f t="shared" si="376"/>
        <v>0,351458958680236+1,76195651153058i</v>
      </c>
      <c r="AA466" s="4">
        <f t="shared" si="390"/>
        <v>1.79666751185677</v>
      </c>
      <c r="AB466" s="4">
        <f t="shared" si="391"/>
        <v>1.3739096191261</v>
      </c>
      <c r="AC466" s="67" t="str">
        <f t="shared" si="392"/>
        <v>-0,298896474002906+0,444957306528664i</v>
      </c>
      <c r="AD466" s="68">
        <f t="shared" si="393"/>
        <v>-5.416249116827</v>
      </c>
      <c r="AE466" s="31">
        <f t="shared" si="394"/>
        <v>123.890912678447</v>
      </c>
      <c r="AF466" s="32" t="str">
        <f t="shared" si="395"/>
        <v>75,4669735059805</v>
      </c>
      <c r="AG466" s="32" t="str">
        <f t="shared" si="377"/>
        <v>1+355,779680212907i</v>
      </c>
      <c r="AH466" s="32">
        <f t="shared" si="396"/>
        <v>355.781085574259</v>
      </c>
      <c r="AI466" s="32">
        <f t="shared" si="397"/>
        <v>1.56798560594087</v>
      </c>
      <c r="AJ466" s="32" t="str">
        <f t="shared" si="378"/>
        <v>1+0,379498325560434i</v>
      </c>
      <c r="AK466" s="32">
        <f t="shared" si="398"/>
        <v>1.06958822876057</v>
      </c>
      <c r="AL466" s="32">
        <f t="shared" si="399"/>
        <v>0.362708563606433</v>
      </c>
      <c r="AM466" s="32" t="str">
        <f t="shared" si="379"/>
        <v>1-4,24292026650238i</v>
      </c>
      <c r="AN466" s="32">
        <f t="shared" si="400"/>
        <v>4.35917106660161</v>
      </c>
      <c r="AO466" s="32">
        <f t="shared" si="401"/>
        <v>-1.33933367661052</v>
      </c>
      <c r="AP466" s="30" t="str">
        <f t="shared" si="402"/>
        <v>-0,817935408494781-0,555963190403528i</v>
      </c>
      <c r="AQ466" s="32">
        <f t="shared" si="403"/>
        <v>-0.0961079059716268</v>
      </c>
      <c r="AR466" s="31">
        <f t="shared" si="404"/>
        <v>-145.795454699296</v>
      </c>
      <c r="AS466" t="str">
        <f t="shared" si="380"/>
        <v>-0,000338461538461538</v>
      </c>
      <c r="AT466" t="str">
        <f t="shared" si="381"/>
        <v>0,332163499413281i</v>
      </c>
      <c r="AU466">
        <f t="shared" si="405"/>
        <v>0.332163499413281</v>
      </c>
      <c r="AV466">
        <f t="shared" si="406"/>
        <v>1.5707963267949</v>
      </c>
      <c r="AW466" t="str">
        <f t="shared" si="382"/>
        <v>1+53,9089062905062i</v>
      </c>
      <c r="AX466">
        <f t="shared" si="407"/>
        <v>53.9181803980678</v>
      </c>
      <c r="AY466">
        <f t="shared" si="408"/>
        <v>1.55224864341591</v>
      </c>
      <c r="AZ466" t="str">
        <f t="shared" si="383"/>
        <v>1+470,577923694938i</v>
      </c>
      <c r="BA466">
        <f t="shared" si="409"/>
        <v>470.578986217021</v>
      </c>
      <c r="BB466">
        <f t="shared" si="410"/>
        <v>1.56867128342933</v>
      </c>
      <c r="BC466" s="30" t="str">
        <f t="shared" si="411"/>
        <v>-0,000146042134068952+0,00889193237960174i</v>
      </c>
      <c r="BD466" s="32">
        <f t="shared" si="412"/>
        <v>-41.0189056143595</v>
      </c>
      <c r="BE466" s="31">
        <f t="shared" si="413"/>
        <v>90.9409479612316</v>
      </c>
      <c r="BF466" s="30" t="str">
        <f t="shared" si="414"/>
        <v>-0,00391287880253354-0,00272274974995025i</v>
      </c>
      <c r="BG466" s="68">
        <f t="shared" si="415"/>
        <v>-46.4351547311865</v>
      </c>
      <c r="BH466" s="31">
        <f t="shared" si="416"/>
        <v>-145.168139360322</v>
      </c>
      <c r="BI466" s="30" t="str">
        <f t="shared" si="423"/>
        <v>0,00506304012720296-0,00719183229242721i</v>
      </c>
      <c r="BJ466" s="68">
        <f t="shared" si="417"/>
        <v>-41.1150135203311</v>
      </c>
      <c r="BK466" s="31">
        <f t="shared" si="424"/>
        <v>-54.8545067380643</v>
      </c>
      <c r="BL466" s="32">
        <f t="shared" si="418"/>
        <v>-46.4351547311865</v>
      </c>
      <c r="BM466" s="31">
        <f t="shared" si="419"/>
        <v>-145.168139360322</v>
      </c>
      <c r="BO466">
        <f t="shared" si="420"/>
        <v>0</v>
      </c>
      <c r="BP466">
        <f t="shared" si="421"/>
        <v>0</v>
      </c>
    </row>
    <row r="467" spans="14:68">
      <c r="N467" s="7">
        <v>49</v>
      </c>
      <c r="O467" s="18">
        <f t="shared" si="422"/>
        <v>309029.543251359</v>
      </c>
      <c r="P467" s="86" t="str">
        <f t="shared" ref="P467:P530" si="425">COMPLEX(Adc,0)</f>
        <v>15</v>
      </c>
      <c r="Q467" s="4" t="str">
        <f t="shared" ref="Q467:Q530" si="426">IMSUM(COMPLEX(1,0),IMDIV(COMPLEX(0,2*PI()*O467),COMPLEX(wp_lf,0)))</f>
        <v>1+566,326216645396i</v>
      </c>
      <c r="R467" s="4">
        <f t="shared" si="384"/>
        <v>566.32709952808</v>
      </c>
      <c r="S467" s="4">
        <f t="shared" si="385"/>
        <v>1.56903056188538</v>
      </c>
      <c r="T467" s="4" t="str">
        <f t="shared" ref="T467:T530" si="427">IMSUM(COMPLEX(1,0),IMDIV(COMPLEX(0,2*PI()*O467),COMPLEX(wz_esr,0)))</f>
        <v>1+0,388337977128272i</v>
      </c>
      <c r="U467" s="4">
        <f t="shared" si="386"/>
        <v>1.07275644229251</v>
      </c>
      <c r="V467" s="4">
        <f t="shared" si="387"/>
        <v>0.370412659802513</v>
      </c>
      <c r="W467" t="str">
        <f t="shared" ref="W467:W530" si="428">IMSUB(COMPLEX(1,0),IMDIV(COMPLEX(0,2*PI()*O467),COMPLEX(wz_rhp,0)))</f>
        <v>1-33,9795729987238i</v>
      </c>
      <c r="X467" s="4">
        <f t="shared" si="388"/>
        <v>33.9942845368983</v>
      </c>
      <c r="Y467" s="4">
        <f t="shared" si="389"/>
        <v>-1.54137537284288</v>
      </c>
      <c r="Z467" t="str">
        <f t="shared" ref="Z467:Z530" si="429">IMSUM(COMPLEX(1,0),IMDIV(COMPLEX(0,2*PI()*O467),COMPLEX(Q*(wsl/2),0)),IMDIV(IMPOWER(COMPLEX(0,2*PI()*O467),2),IMPOWER(COMPLEX(wsl/2,0),2)))</f>
        <v>0,320894161051418+1,80299775095269i</v>
      </c>
      <c r="AA467" s="4">
        <f t="shared" si="390"/>
        <v>1.83133119684489</v>
      </c>
      <c r="AB467" s="4">
        <f t="shared" si="391"/>
        <v>1.39466249774659</v>
      </c>
      <c r="AC467" s="67" t="str">
        <f t="shared" si="392"/>
        <v>-0,288042958992232+0,441828780868167i</v>
      </c>
      <c r="AD467" s="68">
        <f t="shared" si="393"/>
        <v>-5.55671883704493</v>
      </c>
      <c r="AE467" s="31">
        <f t="shared" si="394"/>
        <v>123.101674486473</v>
      </c>
      <c r="AF467" s="32" t="str">
        <f t="shared" si="395"/>
        <v>75,4669735059805</v>
      </c>
      <c r="AG467" s="32" t="str">
        <f t="shared" ref="AG467:AG530" si="430">IMSUM(COMPLEX(1,0),IMDIV(COMPLEX(0,2*PI()*O467),COMPLEX(wp_lf_DCM,0)))</f>
        <v>1+364,066853557755i</v>
      </c>
      <c r="AH467" s="32">
        <f t="shared" si="396"/>
        <v>364.068226929299</v>
      </c>
      <c r="AI467" s="32">
        <f t="shared" si="397"/>
        <v>1.56804958543307</v>
      </c>
      <c r="AJ467" s="32" t="str">
        <f t="shared" ref="AJ467:AJ530" si="431">IMSUM(COMPLEX(1,0),IMDIV(COMPLEX(0,2*PI()*O467),COMPLEX(wz1_dcm,0)))</f>
        <v>1+0,388337977128272i</v>
      </c>
      <c r="AK467" s="32">
        <f t="shared" si="398"/>
        <v>1.07275644229251</v>
      </c>
      <c r="AL467" s="32">
        <f t="shared" si="399"/>
        <v>0.370412659802513</v>
      </c>
      <c r="AM467" s="32" t="str">
        <f t="shared" ref="AM467:AM530" si="432">IMSUB(COMPLEX(1,0),IMDIV(COMPLEX(0,2*PI()*O467),COMPLEX(wz2_dcm,0)))</f>
        <v>1-4,34175057551787i</v>
      </c>
      <c r="AN467" s="32">
        <f t="shared" si="400"/>
        <v>4.45542344340128</v>
      </c>
      <c r="AO467" s="32">
        <f t="shared" si="401"/>
        <v>-1.34442228617096</v>
      </c>
      <c r="AP467" s="30" t="str">
        <f t="shared" si="402"/>
        <v>-0,817962532707064-0,559038210083838i</v>
      </c>
      <c r="AQ467" s="32">
        <f t="shared" si="403"/>
        <v>-0.080714562726901</v>
      </c>
      <c r="AR467" s="31">
        <f t="shared" si="404"/>
        <v>-145.649264108579</v>
      </c>
      <c r="AS467" t="str">
        <f t="shared" ref="AS467:AS530" si="433">COMPLEX(Adc_ea,0)</f>
        <v>-0,000338461538461538</v>
      </c>
      <c r="AT467" t="str">
        <f t="shared" ref="AT467:AT530" si="434">COMPLEX(0,2*PI()*O467*wp0_ea)</f>
        <v>0,339900581241062i</v>
      </c>
      <c r="AU467">
        <f t="shared" si="405"/>
        <v>0.339900581241062</v>
      </c>
      <c r="AV467">
        <f t="shared" si="406"/>
        <v>1.5707963267949</v>
      </c>
      <c r="AW467" t="str">
        <f t="shared" ref="AW467:AW530" si="435">IMSUM(COMPLEX(1,0),IMDIV(COMPLEX(0,2*PI()*O467),COMPLEX(wp1_ea,0)))</f>
        <v>1+55,1646060285948i</v>
      </c>
      <c r="AX467">
        <f t="shared" si="407"/>
        <v>55.1736690667757</v>
      </c>
      <c r="AY467">
        <f t="shared" si="408"/>
        <v>1.55267074669259</v>
      </c>
      <c r="AZ467" t="str">
        <f t="shared" ref="AZ467:AZ530" si="436">IMSUM(COMPLEX(1,0),IMDIV(COMPLEX(0,2*PI()*O467),COMPLEX(wz_ea,0)))</f>
        <v>1+481,539091639057i</v>
      </c>
      <c r="BA467">
        <f t="shared" si="409"/>
        <v>481.540129975237</v>
      </c>
      <c r="BB467">
        <f t="shared" si="410"/>
        <v>1.56871965518123</v>
      </c>
      <c r="BC467" s="30" t="str">
        <f t="shared" si="411"/>
        <v>-0,000139471314510578+0,00868964640052986i</v>
      </c>
      <c r="BD467" s="32">
        <f t="shared" si="412"/>
        <v>-41.218839261131</v>
      </c>
      <c r="BE467" s="31">
        <f t="shared" si="413"/>
        <v>90.9195347221906</v>
      </c>
      <c r="BF467" s="30" t="str">
        <f t="shared" si="414"/>
        <v>-0,0037991621451954-0,00256461390266111i</v>
      </c>
      <c r="BG467" s="68">
        <f t="shared" si="415"/>
        <v>-46.7755580981759</v>
      </c>
      <c r="BH467" s="31">
        <f t="shared" si="416"/>
        <v>-145.978790791337</v>
      </c>
      <c r="BI467" s="30" t="str">
        <f t="shared" si="423"/>
        <v>0,00497192667967073-0,00702983538408419i</v>
      </c>
      <c r="BJ467" s="68">
        <f t="shared" si="417"/>
        <v>-41.2995538238579</v>
      </c>
      <c r="BK467" s="31">
        <f t="shared" si="424"/>
        <v>-54.7297293863889</v>
      </c>
      <c r="BL467" s="32">
        <f t="shared" si="418"/>
        <v>-46.7755580981759</v>
      </c>
      <c r="BM467" s="31">
        <f t="shared" si="419"/>
        <v>-145.978790791337</v>
      </c>
      <c r="BO467">
        <f t="shared" si="420"/>
        <v>0</v>
      </c>
      <c r="BP467">
        <f t="shared" si="421"/>
        <v>0</v>
      </c>
    </row>
    <row r="468" spans="14:68">
      <c r="N468" s="7">
        <v>50</v>
      </c>
      <c r="O468" s="18">
        <f t="shared" si="422"/>
        <v>316227.766016838</v>
      </c>
      <c r="P468" s="86" t="str">
        <f t="shared" si="425"/>
        <v>15</v>
      </c>
      <c r="Q468" s="4" t="str">
        <f t="shared" si="426"/>
        <v>1+579,517648838106i</v>
      </c>
      <c r="R468" s="4">
        <f t="shared" ref="R468:R531" si="437">IMABS(Q468)</f>
        <v>579.518511623957</v>
      </c>
      <c r="S468" s="4">
        <f t="shared" ref="S468:S531" si="438">IMARGUMENT(Q468)</f>
        <v>1.56907075552114</v>
      </c>
      <c r="T468" s="4" t="str">
        <f t="shared" si="427"/>
        <v>1+0,397383530631844i</v>
      </c>
      <c r="U468" s="4">
        <f t="shared" ref="U468:U531" si="439">IMABS(T468)</f>
        <v>1.07606397134066</v>
      </c>
      <c r="V468" s="4">
        <f t="shared" ref="V468:V531" si="440">IMARGUMENT(T468)</f>
        <v>0.378248767017531</v>
      </c>
      <c r="W468" t="str">
        <f t="shared" si="428"/>
        <v>1-34,7710589302864i</v>
      </c>
      <c r="X468" s="4">
        <f t="shared" ref="X468:X531" si="441">IMABS(W468)</f>
        <v>34.7854357329824</v>
      </c>
      <c r="Y468" s="4">
        <f t="shared" ref="Y468:Y531" si="442">IMARGUMENT(W468)</f>
        <v>-1.54204470220833</v>
      </c>
      <c r="Z468" t="str">
        <f t="shared" si="429"/>
        <v>0,288888888888886+1,84499496364784i</v>
      </c>
      <c r="AA468" s="4">
        <f t="shared" ref="AA468:AA531" si="443">IMABS(Z468)</f>
        <v>1.8674750884575</v>
      </c>
      <c r="AB468" s="4">
        <f t="shared" ref="AB468:AB531" si="444">IMARGUMENT(Z468)</f>
        <v>1.41547768925648</v>
      </c>
      <c r="AC468" s="67" t="str">
        <f t="shared" ref="AC468:AC531" si="445">(IMDIV(IMPRODUCT(P468,T468,W468),IMPRODUCT(Q468,Z468)))</f>
        <v>-0,277357970153618+0,43844249534805i</v>
      </c>
      <c r="AD468" s="68">
        <f t="shared" ref="AD468:AD531" si="446">20*LOG(IMABS(AC468))</f>
        <v>-5.69990665766551</v>
      </c>
      <c r="AE468" s="31">
        <f t="shared" ref="AE468:AE531" si="447">(180/PI())*IMARGUMENT(AC468)</f>
        <v>122.317375060995</v>
      </c>
      <c r="AF468" s="32" t="str">
        <f t="shared" ref="AF468:AF531" si="448">COMPLEX($B$68,0)</f>
        <v>75,4669735059805</v>
      </c>
      <c r="AG468" s="32" t="str">
        <f t="shared" si="430"/>
        <v>1+372,547059967354i</v>
      </c>
      <c r="AH468" s="32">
        <f t="shared" ref="AH468:AH531" si="449">IMABS(AG468)</f>
        <v>372.548402077259</v>
      </c>
      <c r="AI468" s="32">
        <f t="shared" ref="AI468:AI531" si="450">IMARGUMENT(AG468)</f>
        <v>1.56811210859596</v>
      </c>
      <c r="AJ468" s="32" t="str">
        <f t="shared" si="431"/>
        <v>1+0,397383530631844i</v>
      </c>
      <c r="AK468" s="32">
        <f t="shared" ref="AK468:AK531" si="451">IMABS(AJ468)</f>
        <v>1.07606397134066</v>
      </c>
      <c r="AL468" s="32">
        <f t="shared" ref="AL468:AL531" si="452">IMARGUMENT(AJ468)</f>
        <v>0.378248767017531</v>
      </c>
      <c r="AM468" s="32" t="str">
        <f t="shared" si="432"/>
        <v>1-4,44288293815836i</v>
      </c>
      <c r="AN468" s="32">
        <f t="shared" ref="AN468:AN531" si="453">IMABS(AM468)</f>
        <v>4.55403214768832</v>
      </c>
      <c r="AO468" s="32">
        <f t="shared" ref="AO468:AO531" si="454">IMARGUMENT(AM468)</f>
        <v>-1.34940661715391</v>
      </c>
      <c r="AP468" s="30" t="str">
        <f t="shared" ref="AP468:AP531" si="455">(IMDIV(IMPRODUCT(AF468,AJ468,AM468),IMPRODUCT(AG468)))</f>
        <v>-0,817988436146704-0,562409632514744i</v>
      </c>
      <c r="AQ468" s="32">
        <f t="shared" ref="AQ468:AQ531" si="456">20*LOG(IMABS(AP468))</f>
        <v>-0.0638317740406769</v>
      </c>
      <c r="AR468" s="31">
        <f t="shared" ref="AR468:AR531" si="457">(180/PI())*IMARGUMENT(AP468)</f>
        <v>-145.489451679722</v>
      </c>
      <c r="AS468" t="str">
        <f t="shared" si="433"/>
        <v>-0,000338461538461538</v>
      </c>
      <c r="AT468" t="str">
        <f t="shared" si="434"/>
        <v>0,347817882856134i</v>
      </c>
      <c r="AU468">
        <f t="shared" ref="AU468:AU531" si="458">IMABS(AT468)</f>
        <v>0.347817882856134</v>
      </c>
      <c r="AV468">
        <f t="shared" ref="AV468:AV531" si="459">IMARGUMENT(AT468)</f>
        <v>1.5707963267949</v>
      </c>
      <c r="AW468" t="str">
        <f t="shared" si="435"/>
        <v>1+56,4495547709897i</v>
      </c>
      <c r="AX468">
        <f t="shared" ref="AX468:AX531" si="460">IMABS(AW468)</f>
        <v>56.4584115419746</v>
      </c>
      <c r="AY468">
        <f t="shared" ref="AY468:AY531" si="461">IMARGUMENT(AW468)</f>
        <v>1.55308324796759</v>
      </c>
      <c r="AZ468" t="str">
        <f t="shared" si="436"/>
        <v>1+492,755577983486i</v>
      </c>
      <c r="BA468">
        <f t="shared" ref="BA468:BA531" si="462">IMABS(AZ468)</f>
        <v>492.756592684298</v>
      </c>
      <c r="BB468">
        <f t="shared" ref="BB468:BB531" si="463">IMARGUMENT(AZ468)</f>
        <v>1.56876692586702</v>
      </c>
      <c r="BC468" s="30" t="str">
        <f t="shared" ref="BC468:BC531" si="464">IMPRODUCT(AS468,IMDIV(AZ468,IMPRODUCT(AT468,AW468)))</f>
        <v>-0,000133196040619192+0,00849195706559003i</v>
      </c>
      <c r="BD468" s="32">
        <f t="shared" ref="BD468:BD531" si="465">20*LOG(IMABS(BC468))</f>
        <v>-41.4187758933182</v>
      </c>
      <c r="BE468" s="31">
        <f t="shared" ref="BE468:BE531" si="466">(180/PI())*IMARGUMENT(BC468)</f>
        <v>90.8986085508801</v>
      </c>
      <c r="BF468" s="30" t="str">
        <f t="shared" ref="BF468:BF531" si="467">IMPRODUCT(AC468,BC468)</f>
        <v>-0,00368629186276716-0,00241371077876328i</v>
      </c>
      <c r="BG468" s="68">
        <f t="shared" ref="BG468:BG531" si="468">20*LOG(IMABS(BF468))</f>
        <v>-47.1186825509837</v>
      </c>
      <c r="BH468" s="31">
        <f t="shared" ref="BH468:BH531" si="469">(180/PI())*IMARGUMENT(BF468)</f>
        <v>-146.784016388125</v>
      </c>
      <c r="BI468" s="30" t="str">
        <f t="shared" si="423"/>
        <v>0,0048849112735565-0,00687141194364988i</v>
      </c>
      <c r="BJ468" s="68">
        <f t="shared" ref="BJ468:BJ531" si="470">20*LOG(IMABS(BI468))</f>
        <v>-41.4826076673589</v>
      </c>
      <c r="BK468" s="31">
        <f t="shared" si="424"/>
        <v>-54.5908431288418</v>
      </c>
      <c r="BL468" s="32">
        <f t="shared" ref="BL468:BL531" si="471">IF($B$31=0,BJ468,BG468)</f>
        <v>-47.1186825509837</v>
      </c>
      <c r="BM468" s="31">
        <f t="shared" ref="BM468:BM531" si="472">IF($B$31=0,BK468,BH468)</f>
        <v>-146.784016388125</v>
      </c>
      <c r="BO468">
        <f t="shared" ref="BO468:BO531" si="473">SUM((BL469&lt;0)*(BL468&gt;0))*O468</f>
        <v>0</v>
      </c>
      <c r="BP468">
        <f t="shared" ref="BP468:BP531" si="474">IF(BO468&gt;0,BM468,0)</f>
        <v>0</v>
      </c>
    </row>
    <row r="469" spans="14:68">
      <c r="N469" s="7">
        <v>51</v>
      </c>
      <c r="O469" s="18">
        <f t="shared" si="422"/>
        <v>323593.656929628</v>
      </c>
      <c r="P469" s="86" t="str">
        <f t="shared" si="425"/>
        <v>15</v>
      </c>
      <c r="Q469" s="4" t="str">
        <f t="shared" si="426"/>
        <v>1+593,016348959052i</v>
      </c>
      <c r="R469" s="4">
        <f t="shared" si="437"/>
        <v>593.017192105528</v>
      </c>
      <c r="S469" s="4">
        <f t="shared" si="438"/>
        <v>1.56911003424344</v>
      </c>
      <c r="T469" s="4" t="str">
        <f t="shared" si="427"/>
        <v>1+0,40663978214335i</v>
      </c>
      <c r="U469" s="4">
        <f t="shared" si="439"/>
        <v>1.07951651790123</v>
      </c>
      <c r="V469" s="4">
        <f t="shared" si="440"/>
        <v>0.386217189647574</v>
      </c>
      <c r="W469" t="str">
        <f t="shared" si="428"/>
        <v>1-35,5809809375432i</v>
      </c>
      <c r="X469" s="4">
        <f t="shared" si="441"/>
        <v>35.5950306149301</v>
      </c>
      <c r="Y469" s="4">
        <f t="shared" si="442"/>
        <v>-1.54269882067816</v>
      </c>
      <c r="Z469" t="str">
        <f t="shared" si="429"/>
        <v>0,255375254719358+1,88797041709412i</v>
      </c>
      <c r="AA469" s="4">
        <f t="shared" si="443"/>
        <v>1.90516372434117</v>
      </c>
      <c r="AB469" s="4">
        <f t="shared" si="444"/>
        <v>1.43634790448406</v>
      </c>
      <c r="AC469" s="67" t="str">
        <f t="shared" si="445"/>
        <v>-0,266851964008381+0,43480796374066i</v>
      </c>
      <c r="AD469" s="68">
        <f t="shared" si="446"/>
        <v>-5.84579331944875</v>
      </c>
      <c r="AE469" s="31">
        <f t="shared" si="447"/>
        <v>121.538428064368</v>
      </c>
      <c r="AF469" s="32" t="str">
        <f t="shared" si="448"/>
        <v>75,4669735059805</v>
      </c>
      <c r="AG469" s="32" t="str">
        <f t="shared" si="430"/>
        <v>1+381,224795759391i</v>
      </c>
      <c r="AH469" s="32">
        <f t="shared" si="449"/>
        <v>381.226107319251</v>
      </c>
      <c r="AI469" s="32">
        <f t="shared" si="450"/>
        <v>1.56817320857819</v>
      </c>
      <c r="AJ469" s="32" t="str">
        <f t="shared" si="431"/>
        <v>1+0,40663978214335i</v>
      </c>
      <c r="AK469" s="32">
        <f t="shared" si="451"/>
        <v>1.07951651790123</v>
      </c>
      <c r="AL469" s="32">
        <f t="shared" si="452"/>
        <v>0.386217189647574</v>
      </c>
      <c r="AM469" s="32" t="str">
        <f t="shared" si="432"/>
        <v>1-4,54637097614118i</v>
      </c>
      <c r="AN469" s="32">
        <f t="shared" si="453"/>
        <v>4.65504984427653</v>
      </c>
      <c r="AO469" s="32">
        <f t="shared" si="454"/>
        <v>-1.35428832124366</v>
      </c>
      <c r="AP469" s="30" t="str">
        <f t="shared" si="455"/>
        <v>-0,818013173755937-0,566079245716773i</v>
      </c>
      <c r="AQ469" s="32">
        <f t="shared" si="456"/>
        <v>-0.0454414688308326</v>
      </c>
      <c r="AR469" s="31">
        <f t="shared" si="457"/>
        <v>-145.316096505929</v>
      </c>
      <c r="AS469" t="str">
        <f t="shared" si="433"/>
        <v>-0,000338461538461538</v>
      </c>
      <c r="AT469" t="str">
        <f t="shared" si="434"/>
        <v>0,355919602116611i</v>
      </c>
      <c r="AU469">
        <f t="shared" si="458"/>
        <v>0.355919602116611</v>
      </c>
      <c r="AV469">
        <f t="shared" si="459"/>
        <v>1.5707963267949</v>
      </c>
      <c r="AW469" t="str">
        <f t="shared" si="435"/>
        <v>1+57,7644338145223i</v>
      </c>
      <c r="AX469">
        <f t="shared" si="460"/>
        <v>57.773089011341</v>
      </c>
      <c r="AY469">
        <f t="shared" si="461"/>
        <v>1.55348636539268</v>
      </c>
      <c r="AZ469" t="str">
        <f t="shared" si="436"/>
        <v>1+504,233329857754i</v>
      </c>
      <c r="BA469">
        <f t="shared" si="462"/>
        <v>504.234321461202</v>
      </c>
      <c r="BB469">
        <f t="shared" si="463"/>
        <v>1.56881312054939</v>
      </c>
      <c r="BC469" s="30" t="str">
        <f t="shared" si="464"/>
        <v>-0,000127203027352619+0,00829876027244409i</v>
      </c>
      <c r="BD469" s="32">
        <f t="shared" si="465"/>
        <v>-41.6187153766407</v>
      </c>
      <c r="BE469" s="31">
        <f t="shared" si="466"/>
        <v>90.8781583841101</v>
      </c>
      <c r="BF469" s="30" t="str">
        <f t="shared" si="467"/>
        <v>-0,00357442267795644-0,00226984936684127i</v>
      </c>
      <c r="BG469" s="68">
        <f t="shared" si="468"/>
        <v>-47.4645086960894</v>
      </c>
      <c r="BH469" s="31">
        <f t="shared" si="469"/>
        <v>-147.583413551522</v>
      </c>
      <c r="BI469" s="30" t="str">
        <f t="shared" si="423"/>
        <v>0,00480180970752555-0,00671648823492501i</v>
      </c>
      <c r="BJ469" s="68">
        <f t="shared" si="470"/>
        <v>-41.6641568454715</v>
      </c>
      <c r="BK469" s="31">
        <f t="shared" si="424"/>
        <v>-54.4379381218184</v>
      </c>
      <c r="BL469" s="32">
        <f t="shared" si="471"/>
        <v>-47.4645086960894</v>
      </c>
      <c r="BM469" s="31">
        <f t="shared" si="472"/>
        <v>-147.583413551522</v>
      </c>
      <c r="BO469">
        <f t="shared" si="473"/>
        <v>0</v>
      </c>
      <c r="BP469">
        <f t="shared" si="474"/>
        <v>0</v>
      </c>
    </row>
    <row r="470" spans="14:68">
      <c r="N470" s="7">
        <v>52</v>
      </c>
      <c r="O470" s="18">
        <f t="shared" si="422"/>
        <v>331131.121482591</v>
      </c>
      <c r="P470" s="86" t="str">
        <f t="shared" si="425"/>
        <v>15</v>
      </c>
      <c r="Q470" s="4" t="str">
        <f t="shared" si="426"/>
        <v>1+606,829474197718i</v>
      </c>
      <c r="R470" s="4">
        <f t="shared" si="437"/>
        <v>606.830298151863</v>
      </c>
      <c r="S470" s="4">
        <f t="shared" si="438"/>
        <v>1.5691484188779</v>
      </c>
      <c r="T470" s="4" t="str">
        <f t="shared" si="427"/>
        <v>1+0,416111639449864i</v>
      </c>
      <c r="U470" s="4">
        <f t="shared" si="439"/>
        <v>1.08311998249762</v>
      </c>
      <c r="V470" s="4">
        <f t="shared" si="440"/>
        <v>0.39431810392783</v>
      </c>
      <c r="W470" t="str">
        <f t="shared" si="428"/>
        <v>1-36,4097684518631i</v>
      </c>
      <c r="X470" s="4">
        <f t="shared" si="441"/>
        <v>36.4234984415046</v>
      </c>
      <c r="Y470" s="4">
        <f t="shared" si="442"/>
        <v>-1.54333807283433</v>
      </c>
      <c r="Z470" t="str">
        <f t="shared" si="429"/>
        <v>0,220282171631506+1,93194689744579i</v>
      </c>
      <c r="AA470" s="4">
        <f t="shared" si="443"/>
        <v>1.94446472060799</v>
      </c>
      <c r="AB470" s="4">
        <f t="shared" si="444"/>
        <v>1.45726580539033</v>
      </c>
      <c r="AC470" s="67" t="str">
        <f t="shared" si="445"/>
        <v>-0,256534764805735+0,430935219009552i</v>
      </c>
      <c r="AD470" s="68">
        <f t="shared" si="446"/>
        <v>-5.994356799734</v>
      </c>
      <c r="AE470" s="31">
        <f t="shared" si="447"/>
        <v>120.765243096476</v>
      </c>
      <c r="AF470" s="32" t="str">
        <f t="shared" si="448"/>
        <v>75,4669735059805</v>
      </c>
      <c r="AG470" s="32" t="str">
        <f t="shared" si="430"/>
        <v>1+390,104661984248i</v>
      </c>
      <c r="AH470" s="32">
        <f t="shared" si="449"/>
        <v>390.10594368946</v>
      </c>
      <c r="AI470" s="32">
        <f t="shared" si="450"/>
        <v>1.56823291777395</v>
      </c>
      <c r="AJ470" s="32" t="str">
        <f t="shared" si="431"/>
        <v>1+0,416111639449864i</v>
      </c>
      <c r="AK470" s="32">
        <f t="shared" si="451"/>
        <v>1.08311998249762</v>
      </c>
      <c r="AL470" s="32">
        <f t="shared" si="452"/>
        <v>0.39431810392783</v>
      </c>
      <c r="AM470" s="32" t="str">
        <f t="shared" si="432"/>
        <v>1-4,65226956019389i</v>
      </c>
      <c r="AN470" s="32">
        <f t="shared" si="453"/>
        <v>4.75853045179987</v>
      </c>
      <c r="AO470" s="32">
        <f t="shared" si="454"/>
        <v>-1.35906905567216</v>
      </c>
      <c r="AP470" s="30" t="str">
        <f t="shared" si="455"/>
        <v>-0,818036798004325-0,570048995785269i</v>
      </c>
      <c r="AQ470" s="32">
        <f t="shared" si="456"/>
        <v>-0.0255242524989258</v>
      </c>
      <c r="AR470" s="31">
        <f t="shared" si="457"/>
        <v>-145.129285298114</v>
      </c>
      <c r="AS470" t="str">
        <f t="shared" si="433"/>
        <v>-0,000338461538461538</v>
      </c>
      <c r="AT470" t="str">
        <f t="shared" si="434"/>
        <v>0,364210034661282i</v>
      </c>
      <c r="AU470">
        <f t="shared" si="458"/>
        <v>0.364210034661282</v>
      </c>
      <c r="AV470">
        <f t="shared" si="459"/>
        <v>1.5707963267949</v>
      </c>
      <c r="AW470" t="str">
        <f t="shared" si="435"/>
        <v>1+59,1099403254663i</v>
      </c>
      <c r="AX470">
        <f t="shared" si="460"/>
        <v>59.118398534468</v>
      </c>
      <c r="AY470">
        <f t="shared" si="461"/>
        <v>1.55388031218171</v>
      </c>
      <c r="AZ470" t="str">
        <f t="shared" si="436"/>
        <v>1+515,978432917831i</v>
      </c>
      <c r="BA470">
        <f t="shared" si="462"/>
        <v>515.979401949671</v>
      </c>
      <c r="BB470">
        <f t="shared" si="463"/>
        <v>1.5688582637206</v>
      </c>
      <c r="BC470" s="30" t="str">
        <f t="shared" si="464"/>
        <v>-0,000121479586125298+0,00810995425307309i</v>
      </c>
      <c r="BD470" s="32">
        <f t="shared" si="465"/>
        <v>-41.8186575828542</v>
      </c>
      <c r="BE470" s="31">
        <f t="shared" si="466"/>
        <v>90.85817340893</v>
      </c>
      <c r="BF470" s="30" t="str">
        <f t="shared" si="467"/>
        <v>-0,00346370117515015-0,00213283503894947i</v>
      </c>
      <c r="BG470" s="68">
        <f t="shared" si="468"/>
        <v>-47.8130143825882</v>
      </c>
      <c r="BH470" s="31">
        <f t="shared" si="469"/>
        <v>-148.376583494594</v>
      </c>
      <c r="BI470" s="30" t="str">
        <f t="shared" si="423"/>
        <v>0,00472244604948562-0,00656499169306633i</v>
      </c>
      <c r="BJ470" s="68">
        <f t="shared" si="470"/>
        <v>-41.8441818353531</v>
      </c>
      <c r="BK470" s="31">
        <f t="shared" si="424"/>
        <v>-54.2711118891834</v>
      </c>
      <c r="BL470" s="32">
        <f t="shared" si="471"/>
        <v>-47.8130143825882</v>
      </c>
      <c r="BM470" s="31">
        <f t="shared" si="472"/>
        <v>-148.376583494594</v>
      </c>
      <c r="BO470">
        <f t="shared" si="473"/>
        <v>0</v>
      </c>
      <c r="BP470">
        <f t="shared" si="474"/>
        <v>0</v>
      </c>
    </row>
    <row r="471" spans="14:68">
      <c r="N471" s="7">
        <v>53</v>
      </c>
      <c r="O471" s="18">
        <f t="shared" si="422"/>
        <v>338844.156139203</v>
      </c>
      <c r="P471" s="86" t="str">
        <f t="shared" si="425"/>
        <v>15</v>
      </c>
      <c r="Q471" s="4" t="str">
        <f t="shared" si="426"/>
        <v>1+620,96434845594i</v>
      </c>
      <c r="R471" s="4">
        <f t="shared" si="437"/>
        <v>620.965153654623</v>
      </c>
      <c r="S471" s="4">
        <f t="shared" si="438"/>
        <v>1.56918592977609</v>
      </c>
      <c r="T471" s="4" t="str">
        <f t="shared" si="427"/>
        <v>1+0,425804124655502i</v>
      </c>
      <c r="U471" s="4">
        <f t="shared" si="439"/>
        <v>1.08688046839275</v>
      </c>
      <c r="V471" s="4">
        <f t="shared" si="440"/>
        <v>0.402551551055399</v>
      </c>
      <c r="W471" t="str">
        <f t="shared" si="428"/>
        <v>1-37,2578609073565i</v>
      </c>
      <c r="X471" s="4">
        <f t="shared" si="441"/>
        <v>37.2712784780979</v>
      </c>
      <c r="Y471" s="4">
        <f t="shared" si="442"/>
        <v>-1.54396279552578</v>
      </c>
      <c r="Z471" t="str">
        <f t="shared" si="429"/>
        <v>0,183535202491096+1,97694772161483i</v>
      </c>
      <c r="AA471" s="4">
        <f t="shared" si="443"/>
        <v>1.98544893274834</v>
      </c>
      <c r="AB471" s="4">
        <f t="shared" si="444"/>
        <v>1.47822401228514</v>
      </c>
      <c r="AC471" s="67" t="str">
        <f t="shared" si="445"/>
        <v>-0,246415533349014+0,426834762706571i</v>
      </c>
      <c r="AD471" s="68">
        <f t="shared" si="446"/>
        <v>-6.14557234680966</v>
      </c>
      <c r="AE471" s="31">
        <f t="shared" si="447"/>
        <v>119.998224876757</v>
      </c>
      <c r="AF471" s="32" t="str">
        <f t="shared" si="448"/>
        <v>75,4669735059805</v>
      </c>
      <c r="AG471" s="32" t="str">
        <f t="shared" si="430"/>
        <v>1+399,191366864533i</v>
      </c>
      <c r="AH471" s="32">
        <f t="shared" si="449"/>
        <v>399.192619394665</v>
      </c>
      <c r="AI471" s="32">
        <f t="shared" si="450"/>
        <v>1.56829126784014</v>
      </c>
      <c r="AJ471" s="32" t="str">
        <f t="shared" si="431"/>
        <v>1+0,425804124655502i</v>
      </c>
      <c r="AK471" s="32">
        <f t="shared" si="451"/>
        <v>1.08688046839275</v>
      </c>
      <c r="AL471" s="32">
        <f t="shared" si="452"/>
        <v>0.402551551055399</v>
      </c>
      <c r="AM471" s="32" t="str">
        <f t="shared" si="432"/>
        <v>1-4,76063483914748i</v>
      </c>
      <c r="AN471" s="32">
        <f t="shared" si="453"/>
        <v>4.86452917266458</v>
      </c>
      <c r="AO471" s="32">
        <f t="shared" si="454"/>
        <v>-1.36375048072025</v>
      </c>
      <c r="AP471" s="30" t="str">
        <f t="shared" si="455"/>
        <v>-0,818059359000048-0,574320987924229i</v>
      </c>
      <c r="AQ471" s="32">
        <f t="shared" si="456"/>
        <v>-0.00405945779838617</v>
      </c>
      <c r="AR471" s="31">
        <f t="shared" si="457"/>
        <v>-144.929112636749</v>
      </c>
      <c r="AS471" t="str">
        <f t="shared" si="433"/>
        <v>-0,000338461538461538</v>
      </c>
      <c r="AT471" t="str">
        <f t="shared" si="434"/>
        <v>0,372693576187221i</v>
      </c>
      <c r="AU471">
        <f t="shared" si="458"/>
        <v>0.372693576187221</v>
      </c>
      <c r="AV471">
        <f t="shared" si="459"/>
        <v>1.5707963267949</v>
      </c>
      <c r="AW471" t="str">
        <f t="shared" si="435"/>
        <v>1+60,4867877091833i</v>
      </c>
      <c r="AX471">
        <f t="shared" si="460"/>
        <v>60.4950534124552</v>
      </c>
      <c r="AY471">
        <f t="shared" si="461"/>
        <v>1.55426529672109</v>
      </c>
      <c r="AZ471" t="str">
        <f t="shared" si="436"/>
        <v>1+527,997114572822i</v>
      </c>
      <c r="BA471">
        <f t="shared" si="462"/>
        <v>527.998061546845</v>
      </c>
      <c r="BB471">
        <f t="shared" si="463"/>
        <v>1.56890237931541</v>
      </c>
      <c r="BC471" s="30" t="str">
        <f t="shared" si="464"/>
        <v>-0,00011601359809242+0,00792543952299622i</v>
      </c>
      <c r="BD471" s="32">
        <f t="shared" si="465"/>
        <v>-42.0186023894795</v>
      </c>
      <c r="BE471" s="31">
        <f t="shared" si="466"/>
        <v>90.8386430570392</v>
      </c>
      <c r="BF471" s="30" t="str">
        <f t="shared" si="467"/>
        <v>-0,00335426554549369-0,00200247004369698i</v>
      </c>
      <c r="BG471" s="68">
        <f t="shared" si="468"/>
        <v>-48.1641747362892</v>
      </c>
      <c r="BH471" s="31">
        <f t="shared" si="469"/>
        <v>-149.163132066204</v>
      </c>
      <c r="BI471" s="30" t="str">
        <f t="shared" si="423"/>
        <v>0,00464665226627169-0,00641685093170685i</v>
      </c>
      <c r="BJ471" s="68">
        <f t="shared" si="470"/>
        <v>-42.0226618472779</v>
      </c>
      <c r="BK471" s="31">
        <f t="shared" si="424"/>
        <v>-54.0904695797099</v>
      </c>
      <c r="BL471" s="32">
        <f t="shared" si="471"/>
        <v>-48.1641747362892</v>
      </c>
      <c r="BM471" s="31">
        <f t="shared" si="472"/>
        <v>-149.163132066204</v>
      </c>
      <c r="BO471">
        <f t="shared" si="473"/>
        <v>0</v>
      </c>
      <c r="BP471">
        <f t="shared" si="474"/>
        <v>0</v>
      </c>
    </row>
    <row r="472" spans="14:68">
      <c r="N472" s="7">
        <v>54</v>
      </c>
      <c r="O472" s="18">
        <f t="shared" si="422"/>
        <v>346736.850452532</v>
      </c>
      <c r="P472" s="86" t="str">
        <f t="shared" si="425"/>
        <v>15</v>
      </c>
      <c r="Q472" s="4" t="str">
        <f t="shared" si="426"/>
        <v>1+635,428466231148i</v>
      </c>
      <c r="R472" s="4">
        <f t="shared" si="437"/>
        <v>635.429253101295</v>
      </c>
      <c r="S472" s="4">
        <f t="shared" si="438"/>
        <v>1.56922258682637</v>
      </c>
      <c r="T472" s="4" t="str">
        <f t="shared" si="427"/>
        <v>1+0,435722376844216i</v>
      </c>
      <c r="U472" s="4">
        <f t="shared" si="439"/>
        <v>1.09080428569142</v>
      </c>
      <c r="V472" s="4">
        <f t="shared" si="440"/>
        <v>0.410917430321884</v>
      </c>
      <c r="W472" t="str">
        <f t="shared" si="428"/>
        <v>1-38,1257079738689i</v>
      </c>
      <c r="X472" s="4">
        <f t="shared" si="441"/>
        <v>38.1388202296391</v>
      </c>
      <c r="Y472" s="4">
        <f t="shared" si="442"/>
        <v>-1.54457331803712</v>
      </c>
      <c r="Z472" t="str">
        <f t="shared" si="429"/>
        <v>0,145056402049829+2,02299674963385i</v>
      </c>
      <c r="AA472" s="4">
        <f t="shared" si="443"/>
        <v>2.02819062437552</v>
      </c>
      <c r="AB472" s="4">
        <f t="shared" si="444"/>
        <v>1.4992151107929</v>
      </c>
      <c r="AC472" s="67" t="str">
        <f t="shared" si="445"/>
        <v>-0,236502740482529+0,422517512489126i</v>
      </c>
      <c r="AD472" s="68">
        <f t="shared" si="446"/>
        <v>-6.29941251956002</v>
      </c>
      <c r="AE472" s="31">
        <f t="shared" si="447"/>
        <v>119.237772441337</v>
      </c>
      <c r="AF472" s="32" t="str">
        <f t="shared" si="448"/>
        <v>75,4669735059805</v>
      </c>
      <c r="AG472" s="32" t="str">
        <f t="shared" si="430"/>
        <v>1+408,489728291453i</v>
      </c>
      <c r="AH472" s="32">
        <f t="shared" si="449"/>
        <v>408.490952310605</v>
      </c>
      <c r="AI472" s="32">
        <f t="shared" si="450"/>
        <v>1.56834828971315</v>
      </c>
      <c r="AJ472" s="32" t="str">
        <f t="shared" si="431"/>
        <v>1+0,435722376844216i</v>
      </c>
      <c r="AK472" s="32">
        <f t="shared" si="451"/>
        <v>1.09080428569142</v>
      </c>
      <c r="AL472" s="32">
        <f t="shared" si="452"/>
        <v>0.410917430321884</v>
      </c>
      <c r="AM472" s="32" t="str">
        <f t="shared" si="432"/>
        <v>1-4,87152426970724i</v>
      </c>
      <c r="AN472" s="32">
        <f t="shared" si="453"/>
        <v>4.97310252361106</v>
      </c>
      <c r="AO472" s="32">
        <f t="shared" si="454"/>
        <v>-1.36833425738477</v>
      </c>
      <c r="AP472" s="30" t="str">
        <f t="shared" si="455"/>
        <v>-0,81808090459615-0,578897487564357i</v>
      </c>
      <c r="AQ472" s="32">
        <f t="shared" si="456"/>
        <v>0.0189747997314295</v>
      </c>
      <c r="AR472" s="31">
        <f t="shared" si="457"/>
        <v>-144.715681232634</v>
      </c>
      <c r="AS472" t="str">
        <f t="shared" si="433"/>
        <v>-0,000338461538461538</v>
      </c>
      <c r="AT472" t="str">
        <f t="shared" si="434"/>
        <v>0,381374724780436i</v>
      </c>
      <c r="AU472">
        <f t="shared" si="458"/>
        <v>0.381374724780436</v>
      </c>
      <c r="AV472">
        <f t="shared" si="459"/>
        <v>1.5707963267949</v>
      </c>
      <c r="AW472" t="str">
        <f t="shared" si="435"/>
        <v>1+61,8957059883809i</v>
      </c>
      <c r="AX472">
        <f t="shared" si="460"/>
        <v>61.9037835661124</v>
      </c>
      <c r="AY472">
        <f t="shared" si="461"/>
        <v>1.55464152267797</v>
      </c>
      <c r="AZ472" t="str">
        <f t="shared" si="436"/>
        <v>1+540,295747286828i</v>
      </c>
      <c r="BA472">
        <f t="shared" si="462"/>
        <v>540.296672705128</v>
      </c>
      <c r="BB472">
        <f t="shared" si="463"/>
        <v>1.56894549072381</v>
      </c>
      <c r="BC472" s="30" t="str">
        <f t="shared" si="464"/>
        <v>-0,000110793488625135+0,00774511883148898i</v>
      </c>
      <c r="BD472" s="32">
        <f t="shared" si="465"/>
        <v>-42.2185496795436</v>
      </c>
      <c r="BE472" s="31">
        <f t="shared" si="466"/>
        <v>90.8195569993163</v>
      </c>
      <c r="BF472" s="30" t="str">
        <f t="shared" si="467"/>
        <v>-0,00324624537892595-0,00187855401822387i</v>
      </c>
      <c r="BG472" s="68">
        <f t="shared" si="468"/>
        <v>-48.5179621991036</v>
      </c>
      <c r="BH472" s="31">
        <f t="shared" si="469"/>
        <v>-149.942670559347</v>
      </c>
      <c r="BI472" s="30" t="str">
        <f t="shared" si="423"/>
        <v>0,00457426786983417-0,0062719957476656i</v>
      </c>
      <c r="BJ472" s="68">
        <f t="shared" si="470"/>
        <v>-42.1995748798122</v>
      </c>
      <c r="BK472" s="31">
        <f t="shared" si="424"/>
        <v>-53.8961242333179</v>
      </c>
      <c r="BL472" s="32">
        <f t="shared" si="471"/>
        <v>-48.5179621991036</v>
      </c>
      <c r="BM472" s="31">
        <f t="shared" si="472"/>
        <v>-149.942670559347</v>
      </c>
      <c r="BO472">
        <f t="shared" si="473"/>
        <v>0</v>
      </c>
      <c r="BP472">
        <f t="shared" si="474"/>
        <v>0</v>
      </c>
    </row>
    <row r="473" spans="14:68">
      <c r="N473" s="7">
        <v>55</v>
      </c>
      <c r="O473" s="18">
        <f t="shared" si="422"/>
        <v>354813.389233576</v>
      </c>
      <c r="P473" s="86" t="str">
        <f t="shared" si="425"/>
        <v>15</v>
      </c>
      <c r="Q473" s="4" t="str">
        <f t="shared" si="426"/>
        <v>1+650,229496590038i</v>
      </c>
      <c r="R473" s="4">
        <f t="shared" si="437"/>
        <v>650.230265548855</v>
      </c>
      <c r="S473" s="4">
        <f t="shared" si="438"/>
        <v>1.5692584094644</v>
      </c>
      <c r="T473" s="4" t="str">
        <f t="shared" si="427"/>
        <v>1+0,445871654804598i</v>
      </c>
      <c r="U473" s="4">
        <f t="shared" si="439"/>
        <v>1.09489795531739</v>
      </c>
      <c r="V473" s="4">
        <f t="shared" si="440"/>
        <v>0.419415492291243</v>
      </c>
      <c r="W473" t="str">
        <f t="shared" si="428"/>
        <v>1-39,0137697954024i</v>
      </c>
      <c r="X473" s="4">
        <f t="shared" si="441"/>
        <v>39.0265836789316</v>
      </c>
      <c r="Y473" s="4">
        <f t="shared" si="442"/>
        <v>-1.54516996225389</v>
      </c>
      <c r="Z473" t="str">
        <f t="shared" si="429"/>
        <v>0,104764151613036+2,07011839730706i</v>
      </c>
      <c r="AA473" s="4">
        <f t="shared" si="443"/>
        <v>2.07276764407696</v>
      </c>
      <c r="AB473" s="4">
        <f t="shared" si="444"/>
        <v>1.52023165859402</v>
      </c>
      <c r="AC473" s="67" t="str">
        <f t="shared" si="445"/>
        <v>-0,226804145329652+0,417994748230575i</v>
      </c>
      <c r="AD473" s="68">
        <f t="shared" si="446"/>
        <v>-6.45584723216057</v>
      </c>
      <c r="AE473" s="31">
        <f t="shared" si="447"/>
        <v>118.48427835582</v>
      </c>
      <c r="AF473" s="32" t="str">
        <f t="shared" si="448"/>
        <v>75,4669735059805</v>
      </c>
      <c r="AG473" s="32" t="str">
        <f t="shared" si="430"/>
        <v>1+418,004676379311i</v>
      </c>
      <c r="AH473" s="32">
        <f t="shared" si="449"/>
        <v>418.005872536466</v>
      </c>
      <c r="AI473" s="32">
        <f t="shared" si="450"/>
        <v>1.56840401362524</v>
      </c>
      <c r="AJ473" s="32" t="str">
        <f t="shared" si="431"/>
        <v>1+0,445871654804598i</v>
      </c>
      <c r="AK473" s="32">
        <f t="shared" si="451"/>
        <v>1.09489795531739</v>
      </c>
      <c r="AL473" s="32">
        <f t="shared" si="452"/>
        <v>0.419415492291243</v>
      </c>
      <c r="AM473" s="32" t="str">
        <f t="shared" si="432"/>
        <v>1-4,98499664691701i</v>
      </c>
      <c r="AN473" s="32">
        <f t="shared" si="453"/>
        <v>5.08430836690438</v>
      </c>
      <c r="AO473" s="32">
        <f t="shared" si="454"/>
        <v>-1.37282204520498</v>
      </c>
      <c r="AP473" s="30" t="str">
        <f t="shared" si="455"/>
        <v>-0,818101480492051-0,583780921565984i</v>
      </c>
      <c r="AQ473" s="32">
        <f t="shared" si="456"/>
        <v>0.0436015616829356</v>
      </c>
      <c r="AR473" s="31">
        <f t="shared" si="457"/>
        <v>-144.489102194178</v>
      </c>
      <c r="AS473" t="str">
        <f t="shared" si="433"/>
        <v>-0,000338461538461538</v>
      </c>
      <c r="AT473" t="str">
        <f t="shared" si="434"/>
        <v>0,390258083300821i</v>
      </c>
      <c r="AU473">
        <f t="shared" si="458"/>
        <v>0.390258083300821</v>
      </c>
      <c r="AV473">
        <f t="shared" si="459"/>
        <v>1.5707963267949</v>
      </c>
      <c r="AW473" t="str">
        <f t="shared" si="435"/>
        <v>1+63,3374421901798i</v>
      </c>
      <c r="AX473">
        <f t="shared" si="460"/>
        <v>63.3453359229736</v>
      </c>
      <c r="AY473">
        <f t="shared" si="461"/>
        <v>1.55500918910608</v>
      </c>
      <c r="AZ473" t="str">
        <f t="shared" si="436"/>
        <v>1+552,880851957701i</v>
      </c>
      <c r="BA473">
        <f t="shared" si="462"/>
        <v>552.881756310943</v>
      </c>
      <c r="BB473">
        <f t="shared" si="463"/>
        <v>1.56898762080339</v>
      </c>
      <c r="BC473" s="30" t="str">
        <f t="shared" si="464"/>
        <v>-0,000105808202924215+0,00756889711278772i</v>
      </c>
      <c r="BD473" s="32">
        <f t="shared" si="465"/>
        <v>-42.4184993413326</v>
      </c>
      <c r="BE473" s="31">
        <f t="shared" si="466"/>
        <v>90.8009051404678</v>
      </c>
      <c r="BF473" s="30" t="str">
        <f t="shared" si="467"/>
        <v>-0,00313976150400974-0,00176088451389593i</v>
      </c>
      <c r="BG473" s="68">
        <f t="shared" si="468"/>
        <v>-48.8743465734932</v>
      </c>
      <c r="BH473" s="31">
        <f t="shared" si="469"/>
        <v>-150.714816503712</v>
      </c>
      <c r="BI473" s="30" t="str">
        <f t="shared" si="423"/>
        <v>0,00450513957920183-0,00613035712345131i</v>
      </c>
      <c r="BJ473" s="68">
        <f t="shared" si="470"/>
        <v>-42.3748977796497</v>
      </c>
      <c r="BK473" s="31">
        <f t="shared" si="424"/>
        <v>-53.6881970537107</v>
      </c>
      <c r="BL473" s="32">
        <f t="shared" si="471"/>
        <v>-48.8743465734932</v>
      </c>
      <c r="BM473" s="31">
        <f t="shared" si="472"/>
        <v>-150.714816503712</v>
      </c>
      <c r="BO473">
        <f t="shared" si="473"/>
        <v>0</v>
      </c>
      <c r="BP473">
        <f t="shared" si="474"/>
        <v>0</v>
      </c>
    </row>
    <row r="474" spans="14:68">
      <c r="N474" s="7">
        <v>56</v>
      </c>
      <c r="O474" s="18">
        <f t="shared" si="422"/>
        <v>363078.054770102</v>
      </c>
      <c r="P474" s="86" t="str">
        <f t="shared" si="425"/>
        <v>15</v>
      </c>
      <c r="Q474" s="4" t="str">
        <f t="shared" si="426"/>
        <v>1+665,375287234831i</v>
      </c>
      <c r="R474" s="4">
        <f t="shared" si="437"/>
        <v>665.376038690028</v>
      </c>
      <c r="S474" s="4">
        <f t="shared" si="438"/>
        <v>1.56929341668346</v>
      </c>
      <c r="T474" s="4" t="str">
        <f t="shared" si="427"/>
        <v>1+0,45625733981817i</v>
      </c>
      <c r="U474" s="4">
        <f t="shared" si="439"/>
        <v>1.09916821284913</v>
      </c>
      <c r="V474" s="4">
        <f t="shared" si="440"/>
        <v>0.428045332061329</v>
      </c>
      <c r="W474" t="str">
        <f t="shared" si="428"/>
        <v>1-39,9225172340899i</v>
      </c>
      <c r="X474" s="4">
        <f t="shared" si="441"/>
        <v>39.9350395305452</v>
      </c>
      <c r="Y474" s="4">
        <f t="shared" si="442"/>
        <v>-1.54575304282463</v>
      </c>
      <c r="Z474" t="str">
        <f t="shared" si="429"/>
        <v>0,062572985915436+2,11833764915578i</v>
      </c>
      <c r="AA474" s="4">
        <f t="shared" si="443"/>
        <v>2.11926161065528</v>
      </c>
      <c r="AB474" s="4">
        <f t="shared" si="444"/>
        <v>1.54126619197449</v>
      </c>
      <c r="AC474" s="67" t="str">
        <f t="shared" si="445"/>
        <v>-0,217326778320972+0,413278057194458i</v>
      </c>
      <c r="AD474" s="68">
        <f t="shared" si="446"/>
        <v>-6.61484380362453</v>
      </c>
      <c r="AE474" s="31">
        <f t="shared" si="447"/>
        <v>117.738127944069</v>
      </c>
      <c r="AF474" s="32" t="str">
        <f t="shared" si="448"/>
        <v>75,4669735059805</v>
      </c>
      <c r="AG474" s="32" t="str">
        <f t="shared" si="430"/>
        <v>1+427,741256079535i</v>
      </c>
      <c r="AH474" s="32">
        <f t="shared" si="449"/>
        <v>427.742425008905</v>
      </c>
      <c r="AI474" s="32">
        <f t="shared" si="450"/>
        <v>1.5684584691206</v>
      </c>
      <c r="AJ474" s="32" t="str">
        <f t="shared" si="431"/>
        <v>1+0,45625733981817i</v>
      </c>
      <c r="AK474" s="32">
        <f t="shared" si="451"/>
        <v>1.09916821284913</v>
      </c>
      <c r="AL474" s="32">
        <f t="shared" si="452"/>
        <v>0.428045332061329</v>
      </c>
      <c r="AM474" s="32" t="str">
        <f t="shared" si="432"/>
        <v>1-5,10111213533325i</v>
      </c>
      <c r="AN474" s="32">
        <f t="shared" si="453"/>
        <v>5.19820594217314</v>
      </c>
      <c r="AO474" s="32">
        <f t="shared" si="454"/>
        <v>-1.37721550024187</v>
      </c>
      <c r="AP474" s="30" t="str">
        <f t="shared" si="455"/>
        <v>-0,81812113033045-0,588973879507434i</v>
      </c>
      <c r="AQ474" s="32">
        <f t="shared" si="456"/>
        <v>0.0698449619780874</v>
      </c>
      <c r="AR474" s="31">
        <f t="shared" si="457"/>
        <v>-144.249495298628</v>
      </c>
      <c r="AS474" t="str">
        <f t="shared" si="433"/>
        <v>-0,000338461538461538</v>
      </c>
      <c r="AT474" t="str">
        <f t="shared" si="434"/>
        <v>0,39934836182265i</v>
      </c>
      <c r="AU474">
        <f t="shared" si="458"/>
        <v>0.39934836182265</v>
      </c>
      <c r="AV474">
        <f t="shared" si="459"/>
        <v>1.5707963267949</v>
      </c>
      <c r="AW474" t="str">
        <f t="shared" si="435"/>
        <v>1+64,8127607421986i</v>
      </c>
      <c r="AX474">
        <f t="shared" si="460"/>
        <v>64.8204748133295</v>
      </c>
      <c r="AY474">
        <f t="shared" si="461"/>
        <v>1.55536849054917</v>
      </c>
      <c r="AZ474" t="str">
        <f t="shared" si="436"/>
        <v>1+565,759101374531i</v>
      </c>
      <c r="BA474">
        <f t="shared" si="462"/>
        <v>565.759985142213</v>
      </c>
      <c r="BB474">
        <f t="shared" si="463"/>
        <v>1.56902879189148</v>
      </c>
      <c r="BC474" s="30" t="str">
        <f t="shared" si="464"/>
        <v>-0,000101047182721848+0,00739668143826936i</v>
      </c>
      <c r="BD474" s="32">
        <f t="shared" si="465"/>
        <v>-42.6184512681551</v>
      </c>
      <c r="BE474" s="31">
        <f t="shared" si="466"/>
        <v>90.782677613791</v>
      </c>
      <c r="BF474" s="30" t="str">
        <f t="shared" si="467"/>
        <v>-0,00303492587581492-0,00164925753060587i</v>
      </c>
      <c r="BG474" s="68">
        <f t="shared" si="468"/>
        <v>-49.2332950717797</v>
      </c>
      <c r="BH474" s="31">
        <f t="shared" si="469"/>
        <v>-151.47919444214</v>
      </c>
      <c r="BI474" s="30" t="str">
        <f t="shared" si="423"/>
        <v>0,00443912099752324-0,0059918672277502i</v>
      </c>
      <c r="BJ474" s="68">
        <f t="shared" si="470"/>
        <v>-42.548606306177</v>
      </c>
      <c r="BK474" s="31">
        <f t="shared" si="424"/>
        <v>-53.466817684837</v>
      </c>
      <c r="BL474" s="32">
        <f t="shared" si="471"/>
        <v>-49.2332950717797</v>
      </c>
      <c r="BM474" s="31">
        <f t="shared" si="472"/>
        <v>-151.47919444214</v>
      </c>
      <c r="BO474">
        <f t="shared" si="473"/>
        <v>0</v>
      </c>
      <c r="BP474">
        <f t="shared" si="474"/>
        <v>0</v>
      </c>
    </row>
    <row r="475" spans="14:68">
      <c r="N475" s="7">
        <v>57</v>
      </c>
      <c r="O475" s="18">
        <f t="shared" si="422"/>
        <v>371535.229097173</v>
      </c>
      <c r="P475" s="86" t="str">
        <f t="shared" si="425"/>
        <v>15</v>
      </c>
      <c r="Q475" s="4" t="str">
        <f t="shared" si="426"/>
        <v>1+680,873868664196i</v>
      </c>
      <c r="R475" s="4">
        <f t="shared" si="437"/>
        <v>680.874603014203</v>
      </c>
      <c r="S475" s="4">
        <f t="shared" si="438"/>
        <v>1.56932762704448</v>
      </c>
      <c r="T475" s="4" t="str">
        <f t="shared" si="427"/>
        <v>1+0,466884938512592i</v>
      </c>
      <c r="U475" s="4">
        <f t="shared" si="439"/>
        <v>1.10362201219888</v>
      </c>
      <c r="V475" s="4">
        <f t="shared" si="440"/>
        <v>0.436806382650333</v>
      </c>
      <c r="W475" t="str">
        <f t="shared" si="428"/>
        <v>1-40,8524321198518i</v>
      </c>
      <c r="X475" s="4">
        <f t="shared" si="441"/>
        <v>40.864669460392</v>
      </c>
      <c r="Y475" s="4">
        <f t="shared" si="442"/>
        <v>-1.54632286731955</v>
      </c>
      <c r="Z475" t="str">
        <f t="shared" si="429"/>
        <v>0,018393411837941+2,1676800716656i</v>
      </c>
      <c r="AA475" s="4">
        <f t="shared" si="443"/>
        <v>2.16775810705328</v>
      </c>
      <c r="AB475" s="4">
        <f t="shared" si="444"/>
        <v>1.5623112322213</v>
      </c>
      <c r="AC475" s="67" t="str">
        <f t="shared" si="445"/>
        <v>-0,20807692900174+0,40837927873526i</v>
      </c>
      <c r="AD475" s="68">
        <f t="shared" si="446"/>
        <v>-6.77636701203835</v>
      </c>
      <c r="AE475" s="31">
        <f t="shared" si="447"/>
        <v>116.99969853317</v>
      </c>
      <c r="AF475" s="32" t="str">
        <f t="shared" si="448"/>
        <v>75,4669735059805</v>
      </c>
      <c r="AG475" s="32" t="str">
        <f t="shared" si="430"/>
        <v>1+437,704629855555i</v>
      </c>
      <c r="AH475" s="32">
        <f t="shared" si="449"/>
        <v>437.705772176914</v>
      </c>
      <c r="AI475" s="32">
        <f t="shared" si="450"/>
        <v>1.56851168507094</v>
      </c>
      <c r="AJ475" s="32" t="str">
        <f t="shared" si="431"/>
        <v>1+0,466884938512592i</v>
      </c>
      <c r="AK475" s="32">
        <f t="shared" si="451"/>
        <v>1.10362201219888</v>
      </c>
      <c r="AL475" s="32">
        <f t="shared" si="452"/>
        <v>0.436806382650333</v>
      </c>
      <c r="AM475" s="32" t="str">
        <f t="shared" si="432"/>
        <v>1-5,21993230092482i</v>
      </c>
      <c r="AN475" s="32">
        <f t="shared" si="453"/>
        <v>5.31485589891563</v>
      </c>
      <c r="AO475" s="32">
        <f t="shared" si="454"/>
        <v>-1.38151627320377</v>
      </c>
      <c r="AP475" s="30" t="str">
        <f t="shared" si="455"/>
        <v>-0,818139895789886-0,594479115059558i</v>
      </c>
      <c r="AQ475" s="32">
        <f t="shared" si="456"/>
        <v>0.0977301572923768</v>
      </c>
      <c r="AR475" s="31">
        <f t="shared" si="457"/>
        <v>-143.996989264495</v>
      </c>
      <c r="AS475" t="str">
        <f t="shared" si="433"/>
        <v>-0,000338461538461538</v>
      </c>
      <c r="AT475" t="str">
        <f t="shared" si="434"/>
        <v>0,408650380131916i</v>
      </c>
      <c r="AU475">
        <f t="shared" si="458"/>
        <v>0.408650380131916</v>
      </c>
      <c r="AV475">
        <f t="shared" si="459"/>
        <v>1.5707963267949</v>
      </c>
      <c r="AW475" t="str">
        <f t="shared" si="435"/>
        <v>1+66,3224438778609i</v>
      </c>
      <c r="AX475">
        <f t="shared" si="460"/>
        <v>66.3299823754839</v>
      </c>
      <c r="AY475">
        <f t="shared" si="461"/>
        <v>1.55571961714235</v>
      </c>
      <c r="AZ475" t="str">
        <f t="shared" si="436"/>
        <v>1+578,937323755614i</v>
      </c>
      <c r="BA475">
        <f t="shared" si="462"/>
        <v>578.938187406318</v>
      </c>
      <c r="BB475">
        <f t="shared" si="463"/>
        <v>1.56906902581698</v>
      </c>
      <c r="BC475" s="30" t="str">
        <f t="shared" si="464"/>
        <v>-0,000096500344023413+0,00722838096959128i</v>
      </c>
      <c r="BD475" s="32">
        <f t="shared" si="465"/>
        <v>-42.818405358117</v>
      </c>
      <c r="BE475" s="31">
        <f t="shared" si="466"/>
        <v>90.7648647760515</v>
      </c>
      <c r="BF475" s="30" t="str">
        <f t="shared" si="467"/>
        <v>-0,00293184151155336-0,00154346805469716i</v>
      </c>
      <c r="BG475" s="68">
        <f t="shared" si="468"/>
        <v>-49.5947723701553</v>
      </c>
      <c r="BH475" s="31">
        <f t="shared" si="469"/>
        <v>-152.235436690779</v>
      </c>
      <c r="BI475" s="30" t="str">
        <f t="shared" si="423"/>
        <v>0,00437607230351898-0,00585645941407302i</v>
      </c>
      <c r="BJ475" s="68">
        <f t="shared" si="470"/>
        <v>-42.7206752008246</v>
      </c>
      <c r="BK475" s="31">
        <f t="shared" si="424"/>
        <v>-53.232124488444</v>
      </c>
      <c r="BL475" s="32">
        <f t="shared" si="471"/>
        <v>-49.5947723701553</v>
      </c>
      <c r="BM475" s="31">
        <f t="shared" si="472"/>
        <v>-152.235436690779</v>
      </c>
      <c r="BO475">
        <f t="shared" si="473"/>
        <v>0</v>
      </c>
      <c r="BP475">
        <f t="shared" si="474"/>
        <v>0</v>
      </c>
    </row>
    <row r="476" spans="14:68">
      <c r="N476" s="7">
        <v>58</v>
      </c>
      <c r="O476" s="18">
        <f t="shared" si="422"/>
        <v>380189.396320562</v>
      </c>
      <c r="P476" s="86" t="str">
        <f t="shared" si="425"/>
        <v>15</v>
      </c>
      <c r="Q476" s="4" t="str">
        <f t="shared" si="426"/>
        <v>1+696,733458431159i</v>
      </c>
      <c r="R476" s="4">
        <f t="shared" si="437"/>
        <v>696.734176065337</v>
      </c>
      <c r="S476" s="4">
        <f t="shared" si="438"/>
        <v>1.56936105868593</v>
      </c>
      <c r="T476" s="4" t="str">
        <f t="shared" si="427"/>
        <v>1+0,477760085781366i</v>
      </c>
      <c r="U476" s="4">
        <f t="shared" si="439"/>
        <v>1.10826652911915</v>
      </c>
      <c r="V476" s="4">
        <f t="shared" si="440"/>
        <v>0.445697908552131</v>
      </c>
      <c r="W476" t="str">
        <f t="shared" si="428"/>
        <v>1-41,8040075058696i</v>
      </c>
      <c r="X476" s="4">
        <f t="shared" si="441"/>
        <v>41.8159663711219</v>
      </c>
      <c r="Y476" s="4">
        <f t="shared" si="442"/>
        <v>-1.54687973638612</v>
      </c>
      <c r="Z476" t="str">
        <f t="shared" si="429"/>
        <v>-0,0278682814193301+2,21817182684205i</v>
      </c>
      <c r="AA476" s="4">
        <f t="shared" si="443"/>
        <v>2.21834688326805</v>
      </c>
      <c r="AB476" s="4">
        <f t="shared" si="444"/>
        <v>1.58335929190613</v>
      </c>
      <c r="AC476" s="67" t="str">
        <f t="shared" si="445"/>
        <v>-0,199060138560558+0,40331044897482i</v>
      </c>
      <c r="AD476" s="68">
        <f t="shared" si="446"/>
        <v>-6.94037915336543</v>
      </c>
      <c r="AE476" s="31">
        <f t="shared" si="447"/>
        <v>116.26935871468</v>
      </c>
      <c r="AF476" s="32" t="str">
        <f t="shared" si="448"/>
        <v>75,4669735059805</v>
      </c>
      <c r="AG476" s="32" t="str">
        <f t="shared" si="430"/>
        <v>1+447,900080420031i</v>
      </c>
      <c r="AH476" s="32">
        <f t="shared" si="449"/>
        <v>447.901196739047</v>
      </c>
      <c r="AI476" s="32">
        <f t="shared" si="450"/>
        <v>1.56856368969087</v>
      </c>
      <c r="AJ476" s="32" t="str">
        <f t="shared" si="431"/>
        <v>1+0,477760085781366i</v>
      </c>
      <c r="AK476" s="32">
        <f t="shared" si="451"/>
        <v>1.10826652911915</v>
      </c>
      <c r="AL476" s="32">
        <f t="shared" si="452"/>
        <v>0.445697908552131</v>
      </c>
      <c r="AM476" s="32" t="str">
        <f t="shared" si="432"/>
        <v>1-5,34152014371632i</v>
      </c>
      <c r="AN476" s="32">
        <f t="shared" si="453"/>
        <v>5.43432032969416</v>
      </c>
      <c r="AO476" s="32">
        <f t="shared" si="454"/>
        <v>-1.38572600771164</v>
      </c>
      <c r="AP476" s="30" t="str">
        <f t="shared" si="455"/>
        <v>-0,818157816673139-0,600299547447189i</v>
      </c>
      <c r="AQ476" s="32">
        <f t="shared" si="456"/>
        <v>0.127283252670218</v>
      </c>
      <c r="AR476" s="31">
        <f t="shared" si="457"/>
        <v>-143.7317220223</v>
      </c>
      <c r="AS476" t="str">
        <f t="shared" si="433"/>
        <v>-0,000338461538461538</v>
      </c>
      <c r="AT476" t="str">
        <f t="shared" si="434"/>
        <v>0,418169070281856i</v>
      </c>
      <c r="AU476">
        <f t="shared" si="458"/>
        <v>0.418169070281856</v>
      </c>
      <c r="AV476">
        <f t="shared" si="459"/>
        <v>1.5707963267949</v>
      </c>
      <c r="AW476" t="str">
        <f t="shared" si="435"/>
        <v>1+67,8672920511487i</v>
      </c>
      <c r="AX476">
        <f t="shared" si="460"/>
        <v>67.8746589704575</v>
      </c>
      <c r="AY476">
        <f t="shared" si="461"/>
        <v>1.55606275471106</v>
      </c>
      <c r="AZ476" t="str">
        <f t="shared" si="436"/>
        <v>1+592,422506368894i</v>
      </c>
      <c r="BA476">
        <f t="shared" si="462"/>
        <v>592.423350360536</v>
      </c>
      <c r="BB476">
        <f t="shared" si="463"/>
        <v>1.56910834391193</v>
      </c>
      <c r="BC476" s="30" t="str">
        <f t="shared" si="464"/>
        <v>-0,0000921580558431773+0,00706390691277892i</v>
      </c>
      <c r="BD476" s="32">
        <f t="shared" si="465"/>
        <v>-43.0183615139059</v>
      </c>
      <c r="BE476" s="31">
        <f t="shared" si="466"/>
        <v>90.7474572024713</v>
      </c>
      <c r="BF476" s="30" t="str">
        <f t="shared" si="467"/>
        <v>-0,00283060247314359-0,00144331059571541i</v>
      </c>
      <c r="BG476" s="68">
        <f t="shared" si="468"/>
        <v>-49.9587406672714</v>
      </c>
      <c r="BH476" s="31">
        <f t="shared" si="469"/>
        <v>-152.983184082849</v>
      </c>
      <c r="BI476" s="30" t="str">
        <f t="shared" si="423"/>
        <v>0,00431585995670775-0,00572406821772522i</v>
      </c>
      <c r="BJ476" s="68">
        <f t="shared" si="470"/>
        <v>-42.8910782612357</v>
      </c>
      <c r="BK476" s="31">
        <f t="shared" si="424"/>
        <v>-52.9842648198285</v>
      </c>
      <c r="BL476" s="32">
        <f t="shared" si="471"/>
        <v>-49.9587406672714</v>
      </c>
      <c r="BM476" s="31">
        <f t="shared" si="472"/>
        <v>-152.983184082849</v>
      </c>
      <c r="BO476">
        <f t="shared" si="473"/>
        <v>0</v>
      </c>
      <c r="BP476">
        <f t="shared" si="474"/>
        <v>0</v>
      </c>
    </row>
    <row r="477" spans="14:68">
      <c r="N477" s="7">
        <v>59</v>
      </c>
      <c r="O477" s="18">
        <f t="shared" si="422"/>
        <v>389045.144994281</v>
      </c>
      <c r="P477" s="86" t="str">
        <f t="shared" si="425"/>
        <v>15</v>
      </c>
      <c r="Q477" s="4" t="str">
        <f t="shared" si="426"/>
        <v>1+712,962465500139i</v>
      </c>
      <c r="R477" s="4">
        <f t="shared" si="437"/>
        <v>712.963166798985</v>
      </c>
      <c r="S477" s="4">
        <f t="shared" si="438"/>
        <v>1.56939372933342</v>
      </c>
      <c r="T477" s="4" t="str">
        <f t="shared" si="427"/>
        <v>1+0,488888547771524i</v>
      </c>
      <c r="U477" s="4">
        <f t="shared" si="439"/>
        <v>1.11310916452168</v>
      </c>
      <c r="V477" s="4">
        <f t="shared" si="440"/>
        <v>0.454718999506997</v>
      </c>
      <c r="W477" t="str">
        <f t="shared" si="428"/>
        <v>1-42,7777479300084i</v>
      </c>
      <c r="X477" s="4">
        <f t="shared" si="441"/>
        <v>42.7894346534672</v>
      </c>
      <c r="Y477" s="4">
        <f t="shared" si="442"/>
        <v>-1.54742394390142</v>
      </c>
      <c r="Z477" t="str">
        <f t="shared" si="429"/>
        <v>-0,0763102211102+2,26983968608207i</v>
      </c>
      <c r="AA477" s="4">
        <f t="shared" si="443"/>
        <v>2.27112206857294</v>
      </c>
      <c r="AB477" s="4">
        <f t="shared" si="444"/>
        <v>1.60440288110248</v>
      </c>
      <c r="AC477" s="67" t="str">
        <f t="shared" si="445"/>
        <v>-0,190281196977494+0,398083745885369i</v>
      </c>
      <c r="AD477" s="68">
        <f t="shared" si="446"/>
        <v>-7.10684010473388</v>
      </c>
      <c r="AE477" s="31">
        <f t="shared" si="447"/>
        <v>115.547467622219</v>
      </c>
      <c r="AF477" s="32" t="str">
        <f t="shared" si="448"/>
        <v>75,4669735059805</v>
      </c>
      <c r="AG477" s="32" t="str">
        <f t="shared" si="430"/>
        <v>1+458,333013535804i</v>
      </c>
      <c r="AH477" s="32">
        <f t="shared" si="449"/>
        <v>458.334104444358</v>
      </c>
      <c r="AI477" s="32">
        <f t="shared" si="450"/>
        <v>1.56861451055279</v>
      </c>
      <c r="AJ477" s="32" t="str">
        <f t="shared" si="431"/>
        <v>1+0,488888547771524i</v>
      </c>
      <c r="AK477" s="32">
        <f t="shared" si="451"/>
        <v>1.11310916452168</v>
      </c>
      <c r="AL477" s="32">
        <f t="shared" si="452"/>
        <v>0.454718999506997</v>
      </c>
      <c r="AM477" s="32" t="str">
        <f t="shared" si="432"/>
        <v>1-5,4659401311914i</v>
      </c>
      <c r="AN477" s="32">
        <f t="shared" si="453"/>
        <v>5.55666280403703</v>
      </c>
      <c r="AO477" s="32">
        <f t="shared" si="454"/>
        <v>-1.38984633869773</v>
      </c>
      <c r="AP477" s="30" t="str">
        <f t="shared" si="455"/>
        <v>-0,818174930991642-0,60643826299827i</v>
      </c>
      <c r="AQ477" s="32">
        <f t="shared" si="456"/>
        <v>0.158531222320444</v>
      </c>
      <c r="AR477" s="31">
        <f t="shared" si="457"/>
        <v>-143.453840980582</v>
      </c>
      <c r="AS477" t="str">
        <f t="shared" si="433"/>
        <v>-0,000338461538461538</v>
      </c>
      <c r="AT477" t="str">
        <f t="shared" si="434"/>
        <v>0,427909479207982i</v>
      </c>
      <c r="AU477">
        <f t="shared" si="458"/>
        <v>0.427909479207982</v>
      </c>
      <c r="AV477">
        <f t="shared" si="459"/>
        <v>1.5707963267949</v>
      </c>
      <c r="AW477" t="str">
        <f t="shared" si="435"/>
        <v>1+69,4481243610118i</v>
      </c>
      <c r="AX477">
        <f t="shared" si="460"/>
        <v>69.4553236063483</v>
      </c>
      <c r="AY477">
        <f t="shared" si="461"/>
        <v>1.55639808486797</v>
      </c>
      <c r="AZ477" t="str">
        <f t="shared" si="436"/>
        <v>1+606,22179923669i</v>
      </c>
      <c r="BA477">
        <f t="shared" si="462"/>
        <v>606.222624016763</v>
      </c>
      <c r="BB477">
        <f t="shared" si="463"/>
        <v>1.56914676702281</v>
      </c>
      <c r="BC477" s="30" t="str">
        <f t="shared" si="464"/>
        <v>-0,0000880111198898958+0,0069031724732481i</v>
      </c>
      <c r="BD477" s="32">
        <f t="shared" si="465"/>
        <v>-43.2183196425852</v>
      </c>
      <c r="BE477" s="31">
        <f t="shared" si="466"/>
        <v>90.7304456818262</v>
      </c>
      <c r="BF477" s="30" t="str">
        <f t="shared" si="467"/>
        <v>-0,00273129389540339-0,00134857971743707i</v>
      </c>
      <c r="BG477" s="68">
        <f t="shared" si="468"/>
        <v>-50.3251597473191</v>
      </c>
      <c r="BH477" s="31">
        <f t="shared" si="469"/>
        <v>-153.722086695954</v>
      </c>
      <c r="BI477" s="30" t="str">
        <f t="shared" si="423"/>
        <v>0,00425835641579646-0,00559462935125261i</v>
      </c>
      <c r="BJ477" s="68">
        <f t="shared" si="470"/>
        <v>-43.0597884202648</v>
      </c>
      <c r="BK477" s="31">
        <f t="shared" si="424"/>
        <v>-52.7233952987555</v>
      </c>
      <c r="BL477" s="32">
        <f t="shared" si="471"/>
        <v>-50.3251597473191</v>
      </c>
      <c r="BM477" s="31">
        <f t="shared" si="472"/>
        <v>-153.722086695954</v>
      </c>
      <c r="BO477">
        <f t="shared" si="473"/>
        <v>0</v>
      </c>
      <c r="BP477">
        <f t="shared" si="474"/>
        <v>0</v>
      </c>
    </row>
    <row r="478" spans="14:68">
      <c r="N478" s="7">
        <v>60</v>
      </c>
      <c r="O478" s="18">
        <f t="shared" si="422"/>
        <v>398107.170553497</v>
      </c>
      <c r="P478" s="86" t="str">
        <f t="shared" si="425"/>
        <v>15</v>
      </c>
      <c r="Q478" s="4" t="str">
        <f t="shared" si="426"/>
        <v>1+729,569494705499i</v>
      </c>
      <c r="R478" s="4">
        <f t="shared" si="437"/>
        <v>729.570180040849</v>
      </c>
      <c r="S478" s="4">
        <f t="shared" si="438"/>
        <v>1.56942565630907</v>
      </c>
      <c r="T478" s="4" t="str">
        <f t="shared" si="427"/>
        <v>1+0,500276224940914i</v>
      </c>
      <c r="U478" s="4">
        <f t="shared" si="439"/>
        <v>1.11815754759387</v>
      </c>
      <c r="V478" s="4">
        <f t="shared" si="440"/>
        <v>0.463868564536569</v>
      </c>
      <c r="W478" t="str">
        <f t="shared" si="428"/>
        <v>1-43,77416968233i</v>
      </c>
      <c r="X478" s="4">
        <f t="shared" si="441"/>
        <v>43.7855904536803</v>
      </c>
      <c r="Y478" s="4">
        <f t="shared" si="442"/>
        <v>-1.54795577712133</v>
      </c>
      <c r="Z478" t="str">
        <f t="shared" si="429"/>
        <v>-0,12703515908346+2,32271104436852i</v>
      </c>
      <c r="AA478" s="4">
        <f t="shared" si="443"/>
        <v>2.32618239338081</v>
      </c>
      <c r="AB478" s="4">
        <f t="shared" si="444"/>
        <v>1.62543451358357</v>
      </c>
      <c r="AC478" s="67" t="str">
        <f t="shared" si="445"/>
        <v>-0,181744144649374+0,392711435187548i</v>
      </c>
      <c r="AD478" s="68">
        <f t="shared" si="446"/>
        <v>-7.27570739216772</v>
      </c>
      <c r="AE478" s="31">
        <f t="shared" si="447"/>
        <v>114.834374225494</v>
      </c>
      <c r="AF478" s="32" t="str">
        <f t="shared" si="448"/>
        <v>75,4669735059805</v>
      </c>
      <c r="AG478" s="32" t="str">
        <f t="shared" si="430"/>
        <v>1+469,008960882107i</v>
      </c>
      <c r="AH478" s="32">
        <f t="shared" si="449"/>
        <v>469.010026958608</v>
      </c>
      <c r="AI478" s="32">
        <f t="shared" si="450"/>
        <v>1.56866417460155</v>
      </c>
      <c r="AJ478" s="32" t="str">
        <f t="shared" si="431"/>
        <v>1+0,500276224940914i</v>
      </c>
      <c r="AK478" s="32">
        <f t="shared" si="451"/>
        <v>1.11815754759387</v>
      </c>
      <c r="AL478" s="32">
        <f t="shared" si="452"/>
        <v>0.463868564536569</v>
      </c>
      <c r="AM478" s="32" t="str">
        <f t="shared" si="432"/>
        <v>1-5,5932582324743i</v>
      </c>
      <c r="AN478" s="32">
        <f t="shared" si="453"/>
        <v>5.68194840306928</v>
      </c>
      <c r="AO478" s="32">
        <f t="shared" si="454"/>
        <v>-1.39387889093103</v>
      </c>
      <c r="AP478" s="30" t="str">
        <f t="shared" si="455"/>
        <v>-0,818191275046096-0,612898516781492i</v>
      </c>
      <c r="AQ478" s="32">
        <f t="shared" si="456"/>
        <v>0.191501825608277</v>
      </c>
      <c r="AR478" s="31">
        <f t="shared" si="457"/>
        <v>-143.163503284029</v>
      </c>
      <c r="AS478" t="str">
        <f t="shared" si="433"/>
        <v>-0,000338461538461538</v>
      </c>
      <c r="AT478" t="str">
        <f t="shared" si="434"/>
        <v>0,437876771404034i</v>
      </c>
      <c r="AU478">
        <f t="shared" si="458"/>
        <v>0.437876771404034</v>
      </c>
      <c r="AV478">
        <f t="shared" si="459"/>
        <v>1.5707963267949</v>
      </c>
      <c r="AW478" t="str">
        <f t="shared" si="435"/>
        <v>1+71,0657789856655i</v>
      </c>
      <c r="AX478">
        <f t="shared" si="460"/>
        <v>71.0728143725817</v>
      </c>
      <c r="AY478">
        <f t="shared" si="461"/>
        <v>1.55672578510774</v>
      </c>
      <c r="AZ478" t="str">
        <f t="shared" si="436"/>
        <v>1+620,342518926733i</v>
      </c>
      <c r="BA478">
        <f t="shared" si="462"/>
        <v>620.343324932544</v>
      </c>
      <c r="BB478">
        <f t="shared" si="463"/>
        <v>1.56918431552161</v>
      </c>
      <c r="BC478" s="30" t="str">
        <f t="shared" si="464"/>
        <v>-0,000084050751160162+0,00674609281174667i</v>
      </c>
      <c r="BD478" s="32">
        <f t="shared" si="465"/>
        <v>-43.4182796553975</v>
      </c>
      <c r="BE478" s="31">
        <f t="shared" si="466"/>
        <v>90.7138212116502</v>
      </c>
      <c r="BF478" s="30" t="str">
        <f t="shared" si="467"/>
        <v>-0,00263399205813269-0,00125907055891289i</v>
      </c>
      <c r="BG478" s="68">
        <f t="shared" si="468"/>
        <v>-50.6939870475653</v>
      </c>
      <c r="BH478" s="31">
        <f t="shared" si="469"/>
        <v>-154.451804562856</v>
      </c>
      <c r="BI478" s="30" t="str">
        <f t="shared" si="423"/>
        <v>0,00420343986965013-0,00546807969850188i</v>
      </c>
      <c r="BJ478" s="68">
        <f t="shared" si="470"/>
        <v>-43.2267778297892</v>
      </c>
      <c r="BK478" s="31">
        <f t="shared" si="424"/>
        <v>-52.4496820723787</v>
      </c>
      <c r="BL478" s="32">
        <f t="shared" si="471"/>
        <v>-50.6939870475653</v>
      </c>
      <c r="BM478" s="31">
        <f t="shared" si="472"/>
        <v>-154.451804562856</v>
      </c>
      <c r="BO478">
        <f t="shared" si="473"/>
        <v>0</v>
      </c>
      <c r="BP478">
        <f t="shared" si="474"/>
        <v>0</v>
      </c>
    </row>
    <row r="479" spans="14:68">
      <c r="N479" s="7">
        <v>61</v>
      </c>
      <c r="O479" s="18">
        <f t="shared" si="422"/>
        <v>407380.277804113</v>
      </c>
      <c r="P479" s="86" t="str">
        <f t="shared" si="425"/>
        <v>15</v>
      </c>
      <c r="Q479" s="4" t="str">
        <f t="shared" si="426"/>
        <v>1+746,563351313949i</v>
      </c>
      <c r="R479" s="4">
        <f t="shared" si="437"/>
        <v>746.564021049176</v>
      </c>
      <c r="S479" s="4">
        <f t="shared" si="438"/>
        <v>1.56945685654072</v>
      </c>
      <c r="T479" s="4" t="str">
        <f t="shared" si="427"/>
        <v>1+0,511929155186708i</v>
      </c>
      <c r="U479" s="4">
        <f t="shared" si="439"/>
        <v>1.12341953869878</v>
      </c>
      <c r="V479" s="4">
        <f t="shared" si="440"/>
        <v>0.473145326293994</v>
      </c>
      <c r="W479" t="str">
        <f t="shared" si="428"/>
        <v>1-44,793801078837i</v>
      </c>
      <c r="X479" s="4">
        <f t="shared" si="441"/>
        <v>44.8049619472042</v>
      </c>
      <c r="Y479" s="4">
        <f t="shared" si="442"/>
        <v>-1.54847551682676</v>
      </c>
      <c r="Z479" t="str">
        <f t="shared" si="429"/>
        <v>-0,18015068973338+2,37681393479542i</v>
      </c>
      <c r="AA479" s="4">
        <f t="shared" si="443"/>
        <v>2.38363142109872</v>
      </c>
      <c r="AB479" s="4">
        <f t="shared" si="444"/>
        <v>1.64644671304879</v>
      </c>
      <c r="AC479" s="67" t="str">
        <f t="shared" si="445"/>
        <v>-0,173452278313658+0,387205817445781i</v>
      </c>
      <c r="AD479" s="68">
        <f t="shared" si="446"/>
        <v>-7.44693626275803</v>
      </c>
      <c r="AE479" s="31">
        <f t="shared" si="447"/>
        <v>114.130416640939</v>
      </c>
      <c r="AF479" s="32" t="str">
        <f t="shared" si="448"/>
        <v>75,4669735059805</v>
      </c>
      <c r="AG479" s="32" t="str">
        <f t="shared" si="430"/>
        <v>1+479,933582987539i</v>
      </c>
      <c r="AH479" s="32">
        <f t="shared" si="449"/>
        <v>479.934624797229</v>
      </c>
      <c r="AI479" s="32">
        <f t="shared" si="450"/>
        <v>1.56871270816871</v>
      </c>
      <c r="AJ479" s="32" t="str">
        <f t="shared" si="431"/>
        <v>1+0,511929155186708i</v>
      </c>
      <c r="AK479" s="32">
        <f t="shared" si="451"/>
        <v>1.12341953869878</v>
      </c>
      <c r="AL479" s="32">
        <f t="shared" si="452"/>
        <v>0.473145326293994</v>
      </c>
      <c r="AM479" s="32" t="str">
        <f t="shared" si="432"/>
        <v>1-5,72354195330759i</v>
      </c>
      <c r="AN479" s="32">
        <f t="shared" si="453"/>
        <v>5.81024375489291</v>
      </c>
      <c r="AO479" s="32">
        <f t="shared" si="454"/>
        <v>-1.39782527766338</v>
      </c>
      <c r="AP479" s="30" t="str">
        <f t="shared" si="455"/>
        <v>-0,818206883503462-0,61968373433332i</v>
      </c>
      <c r="AQ479" s="32">
        <f t="shared" si="456"/>
        <v>0.226223518291113</v>
      </c>
      <c r="AR479" s="31">
        <f t="shared" si="457"/>
        <v>-142.860876060433</v>
      </c>
      <c r="AS479" t="str">
        <f t="shared" si="433"/>
        <v>-0,000338461538461538</v>
      </c>
      <c r="AT479" t="str">
        <f t="shared" si="434"/>
        <v>0,44807623166027i</v>
      </c>
      <c r="AU479">
        <f t="shared" si="458"/>
        <v>0.44807623166027</v>
      </c>
      <c r="AV479">
        <f t="shared" si="459"/>
        <v>1.5707963267949</v>
      </c>
      <c r="AW479" t="str">
        <f t="shared" si="435"/>
        <v>1+72,7211136270045i</v>
      </c>
      <c r="AX479">
        <f t="shared" si="460"/>
        <v>72.7279888842782</v>
      </c>
      <c r="AY479">
        <f t="shared" si="461"/>
        <v>1.5570460288997</v>
      </c>
      <c r="AZ479" t="str">
        <f t="shared" si="436"/>
        <v>1+634,792152431518i</v>
      </c>
      <c r="BA479">
        <f t="shared" si="462"/>
        <v>634.79294009042</v>
      </c>
      <c r="BB479">
        <f t="shared" si="463"/>
        <v>1.56922100931663</v>
      </c>
      <c r="BC479" s="30" t="str">
        <f t="shared" si="464"/>
        <v>-0,0000802685593992479+0,00659258500120256i</v>
      </c>
      <c r="BD479" s="32">
        <f t="shared" si="465"/>
        <v>-43.6182414675769</v>
      </c>
      <c r="BE479" s="31">
        <f t="shared" si="466"/>
        <v>90.6975749935444</v>
      </c>
      <c r="BF479" s="30" t="str">
        <f t="shared" si="467"/>
        <v>-0,00253876449996668-0,00117457934159241i</v>
      </c>
      <c r="BG479" s="68">
        <f t="shared" si="468"/>
        <v>-51.0651777303349</v>
      </c>
      <c r="BH479" s="31">
        <f t="shared" si="469"/>
        <v>-155.172008365517</v>
      </c>
      <c r="BI479" s="30" t="str">
        <f t="shared" si="423"/>
        <v>0,00415099398028441-0,00534435730742753i</v>
      </c>
      <c r="BJ479" s="68">
        <f t="shared" si="470"/>
        <v>-43.3920179492858</v>
      </c>
      <c r="BK479" s="31">
        <f t="shared" si="424"/>
        <v>-52.1633010668883</v>
      </c>
      <c r="BL479" s="32">
        <f t="shared" si="471"/>
        <v>-51.0651777303349</v>
      </c>
      <c r="BM479" s="31">
        <f t="shared" si="472"/>
        <v>-155.172008365517</v>
      </c>
      <c r="BO479">
        <f t="shared" si="473"/>
        <v>0</v>
      </c>
      <c r="BP479">
        <f t="shared" si="474"/>
        <v>0</v>
      </c>
    </row>
    <row r="480" spans="14:68">
      <c r="N480" s="7">
        <v>62</v>
      </c>
      <c r="O480" s="18">
        <f t="shared" si="422"/>
        <v>416869.383470336</v>
      </c>
      <c r="P480" s="86" t="str">
        <f t="shared" si="425"/>
        <v>15</v>
      </c>
      <c r="Q480" s="4" t="str">
        <f t="shared" si="426"/>
        <v>1+763,9530456932i</v>
      </c>
      <c r="R480" s="4">
        <f t="shared" si="437"/>
        <v>763.953700183405</v>
      </c>
      <c r="S480" s="4">
        <f t="shared" si="438"/>
        <v>1.56948734657092</v>
      </c>
      <c r="T480" s="4" t="str">
        <f t="shared" si="427"/>
        <v>1+0,523853517046766i</v>
      </c>
      <c r="U480" s="4">
        <f t="shared" si="439"/>
        <v>1.12890323204527</v>
      </c>
      <c r="V480" s="4">
        <f t="shared" si="440"/>
        <v>0.482547815781909</v>
      </c>
      <c r="W480" t="str">
        <f t="shared" si="428"/>
        <v>1-45,8371827415921i</v>
      </c>
      <c r="X480" s="4">
        <f t="shared" si="441"/>
        <v>45.8480896187192</v>
      </c>
      <c r="Y480" s="4">
        <f t="shared" si="442"/>
        <v>-1.54898343746677</v>
      </c>
      <c r="Z480" t="str">
        <f t="shared" si="429"/>
        <v>-0,23576947822179+2,43217704343141i</v>
      </c>
      <c r="AA480" s="4">
        <f t="shared" si="443"/>
        <v>2.44357779034262</v>
      </c>
      <c r="AB480" s="4">
        <f t="shared" si="444"/>
        <v>1.66743201942546</v>
      </c>
      <c r="AC480" s="67" t="str">
        <f t="shared" si="445"/>
        <v>-0,165408161060191+0,38157917671433i</v>
      </c>
      <c r="AD480" s="68">
        <f t="shared" si="446"/>
        <v>-7.62047976130641</v>
      </c>
      <c r="AE480" s="31">
        <f t="shared" si="447"/>
        <v>113.435921459292</v>
      </c>
      <c r="AF480" s="32" t="str">
        <f t="shared" si="448"/>
        <v>75,4669735059805</v>
      </c>
      <c r="AG480" s="32" t="str">
        <f t="shared" si="430"/>
        <v>1+491,112672231343i</v>
      </c>
      <c r="AH480" s="32">
        <f t="shared" si="449"/>
        <v>491.113690326599</v>
      </c>
      <c r="AI480" s="32">
        <f t="shared" si="450"/>
        <v>1.56876013698649</v>
      </c>
      <c r="AJ480" s="32" t="str">
        <f t="shared" si="431"/>
        <v>1+0,523853517046766i</v>
      </c>
      <c r="AK480" s="32">
        <f t="shared" si="451"/>
        <v>1.12890323204527</v>
      </c>
      <c r="AL480" s="32">
        <f t="shared" si="452"/>
        <v>0.482547815781909</v>
      </c>
      <c r="AM480" s="32" t="str">
        <f t="shared" si="432"/>
        <v>1-5,85686037184457i</v>
      </c>
      <c r="AN480" s="32">
        <f t="shared" si="453"/>
        <v>5.94161707073784</v>
      </c>
      <c r="AO480" s="32">
        <f t="shared" si="454"/>
        <v>-1.40168709938987</v>
      </c>
      <c r="AP480" s="30" t="str">
        <f t="shared" si="455"/>
        <v>-0,818221789470488-0,62679751347534i</v>
      </c>
      <c r="AQ480" s="32">
        <f t="shared" si="456"/>
        <v>0.262725359080187</v>
      </c>
      <c r="AR480" s="31">
        <f t="shared" si="457"/>
        <v>-142.546136653105</v>
      </c>
      <c r="AS480" t="str">
        <f t="shared" si="433"/>
        <v>-0,000338461538461538</v>
      </c>
      <c r="AT480" t="str">
        <f t="shared" si="434"/>
        <v>0,458513267865522i</v>
      </c>
      <c r="AU480">
        <f t="shared" si="458"/>
        <v>0.458513267865522</v>
      </c>
      <c r="AV480">
        <f t="shared" si="459"/>
        <v>1.5707963267949</v>
      </c>
      <c r="AW480" t="str">
        <f t="shared" si="435"/>
        <v>1+74,4150059653663i</v>
      </c>
      <c r="AX480">
        <f t="shared" si="460"/>
        <v>74.4217247369711</v>
      </c>
      <c r="AY480">
        <f t="shared" si="461"/>
        <v>1.55735898577845</v>
      </c>
      <c r="AZ480" t="str">
        <f t="shared" si="436"/>
        <v>1+649,57836113799i</v>
      </c>
      <c r="BA480">
        <f t="shared" si="462"/>
        <v>649.579130867608</v>
      </c>
      <c r="BB480">
        <f t="shared" si="463"/>
        <v>1.569256867863</v>
      </c>
      <c r="BC480" s="30" t="str">
        <f t="shared" si="464"/>
        <v>-0,0000766565313909028+0,00644256798446373i</v>
      </c>
      <c r="BD480" s="32">
        <f t="shared" si="465"/>
        <v>-43.8182049981695</v>
      </c>
      <c r="BE480" s="31">
        <f t="shared" si="466"/>
        <v>90.681698428589</v>
      </c>
      <c r="BF480" s="30" t="str">
        <f t="shared" si="467"/>
        <v>-0,00244567017154715-0,00109490385895332i</v>
      </c>
      <c r="BG480" s="68">
        <f t="shared" si="468"/>
        <v>-51.4386847594759</v>
      </c>
      <c r="BH480" s="31">
        <f t="shared" si="469"/>
        <v>-155.882380112119</v>
      </c>
      <c r="BI480" s="30" t="str">
        <f t="shared" si="423"/>
        <v>0,00410090763734696-0,00522340138176573i</v>
      </c>
      <c r="BJ480" s="68">
        <f t="shared" si="470"/>
        <v>-43.5554796390893</v>
      </c>
      <c r="BK480" s="31">
        <f t="shared" si="424"/>
        <v>-51.8644382245159</v>
      </c>
      <c r="BL480" s="32">
        <f t="shared" si="471"/>
        <v>-51.4386847594759</v>
      </c>
      <c r="BM480" s="31">
        <f t="shared" si="472"/>
        <v>-155.882380112119</v>
      </c>
      <c r="BO480">
        <f t="shared" si="473"/>
        <v>0</v>
      </c>
      <c r="BP480">
        <f t="shared" si="474"/>
        <v>0</v>
      </c>
    </row>
    <row r="481" spans="14:68">
      <c r="N481" s="7">
        <v>63</v>
      </c>
      <c r="O481" s="18">
        <f t="shared" si="422"/>
        <v>426579.518801593</v>
      </c>
      <c r="P481" s="86" t="str">
        <f t="shared" si="425"/>
        <v>15</v>
      </c>
      <c r="Q481" s="4" t="str">
        <f t="shared" si="426"/>
        <v>1+781,74779808939i</v>
      </c>
      <c r="R481" s="4">
        <f t="shared" si="437"/>
        <v>781.748437681592</v>
      </c>
      <c r="S481" s="4">
        <f t="shared" si="438"/>
        <v>1.56951714256565</v>
      </c>
      <c r="T481" s="4" t="str">
        <f t="shared" si="427"/>
        <v>1+0,536055632975582i</v>
      </c>
      <c r="U481" s="4">
        <f t="shared" si="439"/>
        <v>1.1346169581162</v>
      </c>
      <c r="V481" s="4">
        <f t="shared" si="440"/>
        <v>0.492074367492343</v>
      </c>
      <c r="W481" t="str">
        <f t="shared" si="428"/>
        <v>1-46,9048678853635i</v>
      </c>
      <c r="X481" s="4">
        <f t="shared" si="441"/>
        <v>46.9155265487174</v>
      </c>
      <c r="Y481" s="4">
        <f t="shared" si="442"/>
        <v>-1.54947980729873</v>
      </c>
      <c r="Z481" t="str">
        <f t="shared" si="429"/>
        <v>-0,294009499456+2,48882972452948i</v>
      </c>
      <c r="AA481" s="4">
        <f t="shared" si="443"/>
        <v>2.5061354679011</v>
      </c>
      <c r="AB481" s="4">
        <f t="shared" si="444"/>
        <v>1.68838299529105</v>
      </c>
      <c r="AC481" s="67" t="str">
        <f t="shared" si="445"/>
        <v>-0,157613636192265+0,37584373105618i</v>
      </c>
      <c r="AD481" s="68">
        <f t="shared" si="446"/>
        <v>-7.79628881150235</v>
      </c>
      <c r="AE481" s="31">
        <f t="shared" si="447"/>
        <v>112.751203090642</v>
      </c>
      <c r="AF481" s="32" t="str">
        <f t="shared" si="448"/>
        <v>75,4669735059805</v>
      </c>
      <c r="AG481" s="32" t="str">
        <f t="shared" si="430"/>
        <v>1+502,552155914608i</v>
      </c>
      <c r="AH481" s="32">
        <f t="shared" si="449"/>
        <v>502.553150835233</v>
      </c>
      <c r="AI481" s="32">
        <f t="shared" si="450"/>
        <v>1.56880648620142</v>
      </c>
      <c r="AJ481" s="32" t="str">
        <f t="shared" si="431"/>
        <v>1+0,536055632975582i</v>
      </c>
      <c r="AK481" s="32">
        <f t="shared" si="451"/>
        <v>1.1346169581162</v>
      </c>
      <c r="AL481" s="32">
        <f t="shared" si="452"/>
        <v>0.492074367492343</v>
      </c>
      <c r="AM481" s="32" t="str">
        <f t="shared" si="432"/>
        <v>1-5,9932841752754i</v>
      </c>
      <c r="AN481" s="32">
        <f t="shared" si="453"/>
        <v>6.07613818190522</v>
      </c>
      <c r="AO481" s="32">
        <f t="shared" si="454"/>
        <v>-1.4054659427178</v>
      </c>
      <c r="AP481" s="30" t="str">
        <f t="shared" si="455"/>
        <v>-0,818236024563924-0,63424362622286i</v>
      </c>
      <c r="AQ481" s="32">
        <f t="shared" si="456"/>
        <v>0.301036911648029</v>
      </c>
      <c r="AR481" s="31">
        <f t="shared" si="457"/>
        <v>-142.219472835315</v>
      </c>
      <c r="AS481" t="str">
        <f t="shared" si="433"/>
        <v>-0,000338461538461538</v>
      </c>
      <c r="AT481" t="str">
        <f t="shared" si="434"/>
        <v>0,469193413874537i</v>
      </c>
      <c r="AU481">
        <f t="shared" si="458"/>
        <v>0.469193413874537</v>
      </c>
      <c r="AV481">
        <f t="shared" si="459"/>
        <v>1.5707963267949</v>
      </c>
      <c r="AW481" t="str">
        <f t="shared" si="435"/>
        <v>1+76,1483541248898i</v>
      </c>
      <c r="AX481">
        <f t="shared" si="460"/>
        <v>76.1549199719205</v>
      </c>
      <c r="AY481">
        <f t="shared" si="461"/>
        <v>1.55766482143251</v>
      </c>
      <c r="AZ481" t="str">
        <f t="shared" si="436"/>
        <v>1+664,708984889721i</v>
      </c>
      <c r="BA481">
        <f t="shared" si="462"/>
        <v>664.709737098174</v>
      </c>
      <c r="BB481">
        <f t="shared" si="463"/>
        <v>1.56929191017302</v>
      </c>
      <c r="BC481" s="30" t="str">
        <f t="shared" si="464"/>
        <v>-0,0000732070140392857+0,00629596253291564i</v>
      </c>
      <c r="BD481" s="32">
        <f t="shared" si="465"/>
        <v>-44.0181701698623</v>
      </c>
      <c r="BE481" s="31">
        <f t="shared" si="466"/>
        <v>90.6661831128557</v>
      </c>
      <c r="BF481" s="30" t="str">
        <f t="shared" si="467"/>
        <v>-0,00235475962528342-0,0010198439454391i</v>
      </c>
      <c r="BG481" s="68">
        <f t="shared" si="468"/>
        <v>-51.8144589813647</v>
      </c>
      <c r="BH481" s="31">
        <f t="shared" si="469"/>
        <v>-156.582613796503</v>
      </c>
      <c r="BI481" s="30" t="str">
        <f t="shared" si="423"/>
        <v>0,00405307472357738-0,00510515227168708i</v>
      </c>
      <c r="BJ481" s="68">
        <f t="shared" si="470"/>
        <v>-43.7171332582143</v>
      </c>
      <c r="BK481" s="31">
        <f t="shared" si="424"/>
        <v>-51.5532897224591</v>
      </c>
      <c r="BL481" s="32">
        <f t="shared" si="471"/>
        <v>-51.8144589813647</v>
      </c>
      <c r="BM481" s="31">
        <f t="shared" si="472"/>
        <v>-156.582613796503</v>
      </c>
      <c r="BO481">
        <f t="shared" si="473"/>
        <v>0</v>
      </c>
      <c r="BP481">
        <f t="shared" si="474"/>
        <v>0</v>
      </c>
    </row>
    <row r="482" spans="14:68">
      <c r="N482" s="7">
        <v>64</v>
      </c>
      <c r="O482" s="18">
        <f t="shared" si="422"/>
        <v>436515.832240166</v>
      </c>
      <c r="P482" s="86" t="str">
        <f t="shared" si="425"/>
        <v>15</v>
      </c>
      <c r="Q482" s="4" t="str">
        <f t="shared" si="426"/>
        <v>1+799,957043515781i</v>
      </c>
      <c r="R482" s="4">
        <f t="shared" si="437"/>
        <v>799.957668549098</v>
      </c>
      <c r="S482" s="4">
        <f t="shared" si="438"/>
        <v>1.56954626032293</v>
      </c>
      <c r="T482" s="4" t="str">
        <f t="shared" si="427"/>
        <v>1+0,548541972696536i</v>
      </c>
      <c r="U482" s="4">
        <f t="shared" si="439"/>
        <v>1.14056928584361</v>
      </c>
      <c r="V482" s="4">
        <f t="shared" si="440"/>
        <v>0.501723115023496</v>
      </c>
      <c r="W482" t="str">
        <f t="shared" si="428"/>
        <v>1-47,9974226109469i</v>
      </c>
      <c r="X482" s="4">
        <f t="shared" si="441"/>
        <v>48.0078387067553</v>
      </c>
      <c r="Y482" s="4">
        <f t="shared" si="442"/>
        <v>-1.54996488852554</v>
      </c>
      <c r="Z482" t="str">
        <f t="shared" si="429"/>
        <v>-0,35499428832943+2,54680201609105i</v>
      </c>
      <c r="AA482" s="4">
        <f t="shared" si="443"/>
        <v>2.57142401285979</v>
      </c>
      <c r="AB482" s="4">
        <f t="shared" si="444"/>
        <v>1.70929223245705</v>
      </c>
      <c r="AC482" s="67" t="str">
        <f t="shared" si="445"/>
        <v>-0,150069844674907+0,370011585223929i</v>
      </c>
      <c r="AD482" s="68">
        <f t="shared" si="446"/>
        <v>-7.97431230172078</v>
      </c>
      <c r="AE482" s="31">
        <f t="shared" si="447"/>
        <v>112.076563127696</v>
      </c>
      <c r="AF482" s="32" t="str">
        <f t="shared" si="448"/>
        <v>75,4669735059805</v>
      </c>
      <c r="AG482" s="32" t="str">
        <f t="shared" si="430"/>
        <v>1+514,258099403003i</v>
      </c>
      <c r="AH482" s="32">
        <f t="shared" si="449"/>
        <v>514.259071676513</v>
      </c>
      <c r="AI482" s="32">
        <f t="shared" si="450"/>
        <v>1.56885178038767</v>
      </c>
      <c r="AJ482" s="32" t="str">
        <f t="shared" si="431"/>
        <v>1+0,548541972696536i</v>
      </c>
      <c r="AK482" s="32">
        <f t="shared" si="451"/>
        <v>1.14056928584361</v>
      </c>
      <c r="AL482" s="32">
        <f t="shared" si="452"/>
        <v>0.501723115023496</v>
      </c>
      <c r="AM482" s="32" t="str">
        <f t="shared" si="432"/>
        <v>1-6,13288569730644i</v>
      </c>
      <c r="AN482" s="32">
        <f t="shared" si="453"/>
        <v>6.21387857752514</v>
      </c>
      <c r="AO482" s="32">
        <f t="shared" si="454"/>
        <v>-1.40916337933809</v>
      </c>
      <c r="AP482" s="30" t="str">
        <f t="shared" si="455"/>
        <v>-0,818249618977573-0,642026020785814i</v>
      </c>
      <c r="AQ482" s="32">
        <f t="shared" si="456"/>
        <v>0.341188142243269</v>
      </c>
      <c r="AR482" s="31">
        <f t="shared" si="457"/>
        <v>-141.881083003261</v>
      </c>
      <c r="AS482" t="str">
        <f t="shared" si="433"/>
        <v>-0,000338461538461538</v>
      </c>
      <c r="AT482" t="str">
        <f t="shared" si="434"/>
        <v>0,480122332442098i</v>
      </c>
      <c r="AU482">
        <f t="shared" si="458"/>
        <v>0.480122332442098</v>
      </c>
      <c r="AV482">
        <f t="shared" si="459"/>
        <v>1.5707963267949</v>
      </c>
      <c r="AW482" t="str">
        <f t="shared" si="435"/>
        <v>1+77,9220771497129i</v>
      </c>
      <c r="AX482">
        <f t="shared" si="460"/>
        <v>77.9284935522676</v>
      </c>
      <c r="AY482">
        <f t="shared" si="461"/>
        <v>1.557963697791</v>
      </c>
      <c r="AZ482" t="str">
        <f t="shared" si="436"/>
        <v>1+680,192046143704i</v>
      </c>
      <c r="BA482">
        <f t="shared" si="462"/>
        <v>680.192781229821</v>
      </c>
      <c r="BB482">
        <f t="shared" si="463"/>
        <v>1.56932615482626</v>
      </c>
      <c r="BC482" s="30" t="str">
        <f t="shared" si="464"/>
        <v>-0,0000699126982078109+0,00615269120596195i</v>
      </c>
      <c r="BD482" s="32">
        <f t="shared" si="465"/>
        <v>-44.2181369088195</v>
      </c>
      <c r="BE482" s="31">
        <f t="shared" si="466"/>
        <v>90.6510208330188</v>
      </c>
      <c r="BF482" s="30" t="str">
        <f t="shared" si="467"/>
        <v>-0,00226607523875046-0,00094920192190253i</v>
      </c>
      <c r="BG482" s="68">
        <f t="shared" si="468"/>
        <v>-52.1924492105403</v>
      </c>
      <c r="BH482" s="31">
        <f t="shared" si="469"/>
        <v>-157.272416039286</v>
      </c>
      <c r="BI482" s="30" t="str">
        <f t="shared" si="423"/>
        <v>0,00400739389075786-0,00498955146353227i</v>
      </c>
      <c r="BJ482" s="68">
        <f t="shared" si="470"/>
        <v>-43.8769487665763</v>
      </c>
      <c r="BK482" s="31">
        <f t="shared" si="424"/>
        <v>-51.2300621702419</v>
      </c>
      <c r="BL482" s="32">
        <f t="shared" si="471"/>
        <v>-52.1924492105403</v>
      </c>
      <c r="BM482" s="31">
        <f t="shared" si="472"/>
        <v>-157.272416039286</v>
      </c>
      <c r="BO482">
        <f t="shared" si="473"/>
        <v>0</v>
      </c>
      <c r="BP482">
        <f t="shared" si="474"/>
        <v>0</v>
      </c>
    </row>
    <row r="483" spans="14:68">
      <c r="N483" s="7">
        <v>65</v>
      </c>
      <c r="O483" s="18">
        <f t="shared" si="422"/>
        <v>446683.592150964</v>
      </c>
      <c r="P483" s="86" t="str">
        <f t="shared" si="425"/>
        <v>15</v>
      </c>
      <c r="Q483" s="4" t="str">
        <f t="shared" si="426"/>
        <v>1+818,590436755332i</v>
      </c>
      <c r="R483" s="4">
        <f t="shared" si="437"/>
        <v>818.591047561165</v>
      </c>
      <c r="S483" s="4">
        <f t="shared" si="438"/>
        <v>1.56957471528118</v>
      </c>
      <c r="T483" s="4" t="str">
        <f t="shared" si="427"/>
        <v>1+0,561319156632228i</v>
      </c>
      <c r="U483" s="4">
        <f t="shared" si="439"/>
        <v>1.14676902452164</v>
      </c>
      <c r="V483" s="4">
        <f t="shared" si="440"/>
        <v>0.511491987228818</v>
      </c>
      <c r="W483" t="str">
        <f t="shared" si="428"/>
        <v>1-49,11542620532i</v>
      </c>
      <c r="X483" s="4">
        <f t="shared" si="441"/>
        <v>49.125605251541</v>
      </c>
      <c r="Y483" s="4">
        <f t="shared" si="442"/>
        <v>-1.55043893743004</v>
      </c>
      <c r="Z483" t="str">
        <f t="shared" si="429"/>
        <v>-0,41885320175566+2,60612465579248i</v>
      </c>
      <c r="AA483" s="4">
        <f t="shared" si="443"/>
        <v>2.63956885232237</v>
      </c>
      <c r="AB483" s="4">
        <f t="shared" si="444"/>
        <v>1.73015235875156</v>
      </c>
      <c r="AC483" s="67" t="str">
        <f t="shared" si="445"/>
        <v>-0,142777245889278+0,364094685757891i</v>
      </c>
      <c r="AD483" s="68">
        <f t="shared" si="446"/>
        <v>-8.15449717554048</v>
      </c>
      <c r="AE483" s="31">
        <f t="shared" si="447"/>
        <v>111.412289728353</v>
      </c>
      <c r="AF483" s="32" t="str">
        <f t="shared" si="448"/>
        <v>75,4669735059805</v>
      </c>
      <c r="AG483" s="32" t="str">
        <f t="shared" si="430"/>
        <v>1+526,236709342714i</v>
      </c>
      <c r="AH483" s="32">
        <f t="shared" si="449"/>
        <v>526.237659484617</v>
      </c>
      <c r="AI483" s="32">
        <f t="shared" si="450"/>
        <v>1.56889604356008</v>
      </c>
      <c r="AJ483" s="32" t="str">
        <f t="shared" si="431"/>
        <v>1+0,561319156632228i</v>
      </c>
      <c r="AK483" s="32">
        <f t="shared" si="451"/>
        <v>1.14676902452164</v>
      </c>
      <c r="AL483" s="32">
        <f t="shared" si="452"/>
        <v>0.511491987228818</v>
      </c>
      <c r="AM483" s="32" t="str">
        <f t="shared" si="432"/>
        <v>1-6,27573895651257i</v>
      </c>
      <c r="AN483" s="32">
        <f t="shared" si="453"/>
        <v>6.35491144315084</v>
      </c>
      <c r="AO483" s="32">
        <f t="shared" si="454"/>
        <v>-1.41278096509354</v>
      </c>
      <c r="AP483" s="30" t="str">
        <f t="shared" si="455"/>
        <v>-0,818262601546345-0,650148823663049i</v>
      </c>
      <c r="AQ483" s="32">
        <f t="shared" si="456"/>
        <v>0.383209313118592</v>
      </c>
      <c r="AR483" s="31">
        <f t="shared" si="457"/>
        <v>-141.531176344074</v>
      </c>
      <c r="AS483" t="str">
        <f t="shared" si="433"/>
        <v>-0,000338461538461538</v>
      </c>
      <c r="AT483" t="str">
        <f t="shared" si="434"/>
        <v>0,49130581822549i</v>
      </c>
      <c r="AU483">
        <f t="shared" si="458"/>
        <v>0.49130581822549</v>
      </c>
      <c r="AV483">
        <f t="shared" si="459"/>
        <v>1.5707963267949</v>
      </c>
      <c r="AW483" t="str">
        <f t="shared" si="435"/>
        <v>1+79,7371154912617i</v>
      </c>
      <c r="AX483">
        <f t="shared" si="460"/>
        <v>79.7433858502811</v>
      </c>
      <c r="AY483">
        <f t="shared" si="461"/>
        <v>1.55825577310844</v>
      </c>
      <c r="AZ483" t="str">
        <f t="shared" si="436"/>
        <v>1+696,035754223963i</v>
      </c>
      <c r="BA483">
        <f t="shared" si="462"/>
        <v>696.036472577494</v>
      </c>
      <c r="BB483">
        <f t="shared" si="463"/>
        <v>1.56935961997935</v>
      </c>
      <c r="BC483" s="30" t="str">
        <f t="shared" si="464"/>
        <v>-0,0000667666032812422+0,00601267831135423i</v>
      </c>
      <c r="BD483" s="32">
        <f t="shared" si="465"/>
        <v>-44.4181051445261</v>
      </c>
      <c r="BE483" s="31">
        <f t="shared" si="466"/>
        <v>90.6362035620628</v>
      </c>
      <c r="BF483" s="30" t="str">
        <f t="shared" si="467"/>
        <v>-0,00217965146860193-0,000882783015154157i</v>
      </c>
      <c r="BG483" s="68">
        <f t="shared" si="468"/>
        <v>-52.5726023200666</v>
      </c>
      <c r="BH483" s="31">
        <f t="shared" si="469"/>
        <v>-157.951506709584</v>
      </c>
      <c r="BI483" s="30" t="str">
        <f t="shared" si="423"/>
        <v>0,0039637683456886-0,00487654156872672i</v>
      </c>
      <c r="BJ483" s="68">
        <f t="shared" si="470"/>
        <v>-44.0348958314075</v>
      </c>
      <c r="BK483" s="31">
        <f t="shared" si="424"/>
        <v>-50.8949727820116</v>
      </c>
      <c r="BL483" s="32">
        <f t="shared" si="471"/>
        <v>-52.5726023200666</v>
      </c>
      <c r="BM483" s="31">
        <f t="shared" si="472"/>
        <v>-157.951506709584</v>
      </c>
      <c r="BO483">
        <f t="shared" si="473"/>
        <v>0</v>
      </c>
      <c r="BP483">
        <f t="shared" si="474"/>
        <v>0</v>
      </c>
    </row>
    <row r="484" spans="14:68">
      <c r="N484" s="7">
        <v>66</v>
      </c>
      <c r="O484" s="18">
        <f t="shared" ref="O484:O518" si="475">10^(5+(N484/100))</f>
        <v>457088.189614875</v>
      </c>
      <c r="P484" s="86" t="str">
        <f t="shared" si="425"/>
        <v>15</v>
      </c>
      <c r="Q484" s="4" t="str">
        <f t="shared" si="426"/>
        <v>1+837,657857479771i</v>
      </c>
      <c r="R484" s="4">
        <f t="shared" si="437"/>
        <v>837.658454381976</v>
      </c>
      <c r="S484" s="4">
        <f t="shared" si="438"/>
        <v>1.56960252252742</v>
      </c>
      <c r="T484" s="4" t="str">
        <f t="shared" si="427"/>
        <v>1+0,5743939594147i</v>
      </c>
      <c r="U484" s="4">
        <f t="shared" si="439"/>
        <v>1.15322522544909</v>
      </c>
      <c r="V484" s="4">
        <f t="shared" si="440"/>
        <v>0.521378704953676</v>
      </c>
      <c r="W484" t="str">
        <f t="shared" si="428"/>
        <v>1-50,2594714487863i</v>
      </c>
      <c r="X484" s="4">
        <f t="shared" si="441"/>
        <v>50.2694188380109</v>
      </c>
      <c r="Y484" s="4">
        <f t="shared" si="442"/>
        <v>-1.55090220450651</v>
      </c>
      <c r="Z484" t="str">
        <f t="shared" si="429"/>
        <v>-0,48572169305177+2,66682909728253i</v>
      </c>
      <c r="AA484" s="4">
        <f t="shared" si="443"/>
        <v>2.71070156919087</v>
      </c>
      <c r="AB484" s="4">
        <f t="shared" si="444"/>
        <v>1.7509560450317</v>
      </c>
      <c r="AC484" s="67" t="str">
        <f t="shared" si="445"/>
        <v>-0,135735641396961+0,358104778722059i</v>
      </c>
      <c r="AD484" s="68">
        <f t="shared" si="446"/>
        <v>-8.33678852709231</v>
      </c>
      <c r="AE484" s="31">
        <f t="shared" si="447"/>
        <v>110.75865701894</v>
      </c>
      <c r="AF484" s="32" t="str">
        <f t="shared" si="448"/>
        <v>75,4669735059805</v>
      </c>
      <c r="AG484" s="32" t="str">
        <f t="shared" si="430"/>
        <v>1+538,494336951282i</v>
      </c>
      <c r="AH484" s="32">
        <f t="shared" si="449"/>
        <v>538.495265465353</v>
      </c>
      <c r="AI484" s="32">
        <f t="shared" si="450"/>
        <v>1.56893929918687</v>
      </c>
      <c r="AJ484" s="32" t="str">
        <f t="shared" si="431"/>
        <v>1+0,5743939594147i</v>
      </c>
      <c r="AK484" s="32">
        <f t="shared" si="451"/>
        <v>1.15322522544909</v>
      </c>
      <c r="AL484" s="32">
        <f t="shared" si="452"/>
        <v>0.521378704953676</v>
      </c>
      <c r="AM484" s="32" t="str">
        <f t="shared" si="432"/>
        <v>1-6,42191969558262i</v>
      </c>
      <c r="AN484" s="32">
        <f t="shared" si="453"/>
        <v>6.49931170021195</v>
      </c>
      <c r="AO484" s="32">
        <f t="shared" si="454"/>
        <v>-1.4163202391386</v>
      </c>
      <c r="AP484" s="30" t="str">
        <f t="shared" si="455"/>
        <v>-0,818274999807394-0,658616341831024i</v>
      </c>
      <c r="AQ484" s="32">
        <f t="shared" si="456"/>
        <v>0.427130872023177</v>
      </c>
      <c r="AR484" s="31">
        <f t="shared" si="457"/>
        <v>-141.16997297538</v>
      </c>
      <c r="AS484" t="str">
        <f t="shared" si="433"/>
        <v>-0,000338461538461538</v>
      </c>
      <c r="AT484" t="str">
        <f t="shared" si="434"/>
        <v>0,502749800856905i</v>
      </c>
      <c r="AU484">
        <f t="shared" si="458"/>
        <v>0.502749800856905</v>
      </c>
      <c r="AV484">
        <f t="shared" si="459"/>
        <v>1.5707963267949</v>
      </c>
      <c r="AW484" t="str">
        <f t="shared" si="435"/>
        <v>1+81,594431506889i</v>
      </c>
      <c r="AX484">
        <f t="shared" si="460"/>
        <v>81.6005591459544</v>
      </c>
      <c r="AY484">
        <f t="shared" si="461"/>
        <v>1.55854120204756</v>
      </c>
      <c r="AZ484" t="str">
        <f t="shared" si="436"/>
        <v>1+712,248509674228i</v>
      </c>
      <c r="BA484">
        <f t="shared" si="462"/>
        <v>712.249211676053</v>
      </c>
      <c r="BB484">
        <f t="shared" si="463"/>
        <v>1.56939232337567</v>
      </c>
      <c r="BC484" s="30" t="str">
        <f t="shared" si="464"/>
        <v>-0,0000637620624188371+0,00587584986635564i</v>
      </c>
      <c r="BD484" s="32">
        <f t="shared" si="465"/>
        <v>-44.6180748096388</v>
      </c>
      <c r="BE484" s="31">
        <f t="shared" si="466"/>
        <v>90.6217234550846</v>
      </c>
      <c r="BF484" s="30" t="str">
        <f t="shared" si="467"/>
        <v>-0,00209551513175611-0,00082039574961539i</v>
      </c>
      <c r="BG484" s="68">
        <f t="shared" si="468"/>
        <v>-52.9548633367311</v>
      </c>
      <c r="BH484" s="31">
        <f t="shared" si="469"/>
        <v>-158.619619525975</v>
      </c>
      <c r="BI484" s="30" t="str">
        <f t="shared" si="423"/>
        <v>0,00392210564574096-0,00476606631196254i</v>
      </c>
      <c r="BJ484" s="68">
        <f t="shared" si="470"/>
        <v>-44.1909439376156</v>
      </c>
      <c r="BK484" s="31">
        <f t="shared" si="424"/>
        <v>-50.5482495202955</v>
      </c>
      <c r="BL484" s="32">
        <f t="shared" si="471"/>
        <v>-52.9548633367311</v>
      </c>
      <c r="BM484" s="31">
        <f t="shared" si="472"/>
        <v>-158.619619525975</v>
      </c>
      <c r="BO484">
        <f t="shared" si="473"/>
        <v>0</v>
      </c>
      <c r="BP484">
        <f t="shared" si="474"/>
        <v>0</v>
      </c>
    </row>
    <row r="485" spans="14:68">
      <c r="N485" s="7">
        <v>67</v>
      </c>
      <c r="O485" s="18">
        <f t="shared" si="475"/>
        <v>467735.141287199</v>
      </c>
      <c r="P485" s="86" t="str">
        <f t="shared" si="425"/>
        <v>15</v>
      </c>
      <c r="Q485" s="4" t="str">
        <f t="shared" si="426"/>
        <v>1+857,169415487959i</v>
      </c>
      <c r="R485" s="4">
        <f t="shared" si="437"/>
        <v>857.16999880302</v>
      </c>
      <c r="S485" s="4">
        <f t="shared" si="438"/>
        <v>1.56962969680524</v>
      </c>
      <c r="T485" s="4" t="str">
        <f t="shared" si="427"/>
        <v>1+0,587773313477458i</v>
      </c>
      <c r="U485" s="4">
        <f t="shared" si="439"/>
        <v>1.15994718329598</v>
      </c>
      <c r="V485" s="4">
        <f t="shared" si="440"/>
        <v>0.531380778414214</v>
      </c>
      <c r="W485" t="str">
        <f t="shared" si="428"/>
        <v>1-51,4301649292776i</v>
      </c>
      <c r="X485" s="4">
        <f t="shared" si="441"/>
        <v>51.4398859315677</v>
      </c>
      <c r="Y485" s="4">
        <f t="shared" si="442"/>
        <v>-1.55135493458944</v>
      </c>
      <c r="Z485" t="str">
        <f t="shared" si="429"/>
        <v>-0,55574159925302+2,72894752685962i</v>
      </c>
      <c r="AA485" s="4">
        <f t="shared" si="443"/>
        <v>2.78496020249725</v>
      </c>
      <c r="AB485" s="4">
        <f t="shared" si="444"/>
        <v>1.77169601245061</v>
      </c>
      <c r="AC485" s="67" t="str">
        <f t="shared" si="445"/>
        <v>-0,128944201407157+0,352053370263975i</v>
      </c>
      <c r="AD485" s="68">
        <f t="shared" si="446"/>
        <v>-8.5211297013414</v>
      </c>
      <c r="AE485" s="31">
        <f t="shared" si="447"/>
        <v>110.115924519826</v>
      </c>
      <c r="AF485" s="32" t="str">
        <f t="shared" si="448"/>
        <v>75,4669735059805</v>
      </c>
      <c r="AG485" s="32" t="str">
        <f t="shared" si="430"/>
        <v>1+551,037481385117i</v>
      </c>
      <c r="AH485" s="32">
        <f t="shared" si="449"/>
        <v>551.038388763662</v>
      </c>
      <c r="AI485" s="32">
        <f t="shared" si="450"/>
        <v>1.5689815702021</v>
      </c>
      <c r="AJ485" s="32" t="str">
        <f t="shared" si="431"/>
        <v>1+0,587773313477458i</v>
      </c>
      <c r="AK485" s="32">
        <f t="shared" si="451"/>
        <v>1.15994718329598</v>
      </c>
      <c r="AL485" s="32">
        <f t="shared" si="452"/>
        <v>0.531380778414214</v>
      </c>
      <c r="AM485" s="32" t="str">
        <f t="shared" si="432"/>
        <v>1-6,57150542147945i</v>
      </c>
      <c r="AN485" s="32">
        <f t="shared" si="453"/>
        <v>6.64715604635048</v>
      </c>
      <c r="AO485" s="32">
        <f t="shared" si="454"/>
        <v>-1.41978272318506</v>
      </c>
      <c r="AP485" s="30" t="str">
        <f t="shared" si="455"/>
        <v>-0,818286840058538-0,66743306502822i</v>
      </c>
      <c r="AQ485" s="32">
        <f t="shared" si="456"/>
        <v>0.472983338061425</v>
      </c>
      <c r="AR485" s="31">
        <f t="shared" si="457"/>
        <v>-140.797704052974</v>
      </c>
      <c r="AS485" t="str">
        <f t="shared" si="433"/>
        <v>-0,000338461538461538</v>
      </c>
      <c r="AT485" t="str">
        <f t="shared" si="434"/>
        <v>0,514460348087415i</v>
      </c>
      <c r="AU485">
        <f t="shared" si="458"/>
        <v>0.514460348087415</v>
      </c>
      <c r="AV485">
        <f t="shared" si="459"/>
        <v>1.5707963267949</v>
      </c>
      <c r="AW485" t="str">
        <f t="shared" si="435"/>
        <v>1+83,4950099701314i</v>
      </c>
      <c r="AX485">
        <f t="shared" si="460"/>
        <v>83.5009981372219</v>
      </c>
      <c r="AY485">
        <f t="shared" si="461"/>
        <v>1.55882013576045</v>
      </c>
      <c r="AZ485" t="str">
        <f t="shared" si="436"/>
        <v>1+728,838908712048i</v>
      </c>
      <c r="BA485">
        <f t="shared" si="462"/>
        <v>728.839594734376</v>
      </c>
      <c r="BB485">
        <f t="shared" si="463"/>
        <v>1.5694242823547</v>
      </c>
      <c r="BC485" s="30" t="str">
        <f t="shared" si="464"/>
        <v>-0,000060892708467784+0,00574213355972506i</v>
      </c>
      <c r="BD485" s="32">
        <f t="shared" si="465"/>
        <v>-44.8180458398432</v>
      </c>
      <c r="BE485" s="31">
        <f t="shared" si="466"/>
        <v>90.6075728451887</v>
      </c>
      <c r="BF485" s="30" t="str">
        <f t="shared" si="467"/>
        <v>-0,00201368571054219-0,000761852309472569i</v>
      </c>
      <c r="BG485" s="68">
        <f t="shared" si="468"/>
        <v>-53.3391755411845</v>
      </c>
      <c r="BH485" s="31">
        <f t="shared" si="469"/>
        <v>-159.276502634985</v>
      </c>
      <c r="BI485" s="30" t="str">
        <f t="shared" si="423"/>
        <v>0,00388231750356341-0,00465807051873098i</v>
      </c>
      <c r="BJ485" s="68">
        <f t="shared" si="470"/>
        <v>-44.3450625017817</v>
      </c>
      <c r="BK485" s="31">
        <f t="shared" si="424"/>
        <v>-50.1901312077848</v>
      </c>
      <c r="BL485" s="32">
        <f t="shared" si="471"/>
        <v>-53.3391755411845</v>
      </c>
      <c r="BM485" s="31">
        <f t="shared" si="472"/>
        <v>-159.276502634985</v>
      </c>
      <c r="BO485">
        <f t="shared" si="473"/>
        <v>0</v>
      </c>
      <c r="BP485">
        <f t="shared" si="474"/>
        <v>0</v>
      </c>
    </row>
    <row r="486" spans="14:68">
      <c r="N486" s="7">
        <v>68</v>
      </c>
      <c r="O486" s="18">
        <f t="shared" si="475"/>
        <v>478630.092322639</v>
      </c>
      <c r="P486" s="86" t="str">
        <f t="shared" si="425"/>
        <v>15</v>
      </c>
      <c r="Q486" s="4" t="str">
        <f t="shared" si="426"/>
        <v>1+877,135456066219i</v>
      </c>
      <c r="R486" s="4">
        <f t="shared" si="437"/>
        <v>877.136026103417</v>
      </c>
      <c r="S486" s="4">
        <f t="shared" si="438"/>
        <v>1.56965625252264</v>
      </c>
      <c r="T486" s="4" t="str">
        <f t="shared" si="427"/>
        <v>1+0,601464312731122i</v>
      </c>
      <c r="U486" s="4">
        <f t="shared" si="439"/>
        <v>1.16694443719019</v>
      </c>
      <c r="V486" s="4">
        <f t="shared" si="440"/>
        <v>0.541495505271546</v>
      </c>
      <c r="W486" t="str">
        <f t="shared" si="428"/>
        <v>1-52,6281273639732i</v>
      </c>
      <c r="X486" s="4">
        <f t="shared" si="441"/>
        <v>52.6376271296359</v>
      </c>
      <c r="Y486" s="4">
        <f t="shared" si="442"/>
        <v>-1.55179736697952</v>
      </c>
      <c r="Z486" t="str">
        <f t="shared" si="429"/>
        <v>-0,6290614419682+2,79251288053734i</v>
      </c>
      <c r="AA486" s="4">
        <f t="shared" si="443"/>
        <v>2.86248956080857</v>
      </c>
      <c r="AB486" s="4">
        <f t="shared" si="444"/>
        <v>1.79236503999618</v>
      </c>
      <c r="AC486" s="67" t="str">
        <f t="shared" si="445"/>
        <v>-0,12240149363259+0,34595169015026i</v>
      </c>
      <c r="AD486" s="68">
        <f t="shared" si="446"/>
        <v>-8.70746239939573</v>
      </c>
      <c r="AE486" s="31">
        <f t="shared" si="447"/>
        <v>109.484336595477</v>
      </c>
      <c r="AF486" s="32" t="str">
        <f t="shared" si="448"/>
        <v>75,4669735059805</v>
      </c>
      <c r="AG486" s="32" t="str">
        <f t="shared" si="430"/>
        <v>1+563,872793185427i</v>
      </c>
      <c r="AH486" s="32">
        <f t="shared" si="449"/>
        <v>563.873679909548</v>
      </c>
      <c r="AI486" s="32">
        <f t="shared" si="450"/>
        <v>1.56902287901782</v>
      </c>
      <c r="AJ486" s="32" t="str">
        <f t="shared" si="431"/>
        <v>1+0,601464312731122i</v>
      </c>
      <c r="AK486" s="32">
        <f t="shared" si="451"/>
        <v>1.16694443719019</v>
      </c>
      <c r="AL486" s="32">
        <f t="shared" si="452"/>
        <v>0.541495505271546</v>
      </c>
      <c r="AM486" s="32" t="str">
        <f t="shared" si="432"/>
        <v>1-6,7245754465349i</v>
      </c>
      <c r="AN486" s="32">
        <f t="shared" si="453"/>
        <v>6.79852299666185</v>
      </c>
      <c r="AO486" s="32">
        <f t="shared" si="454"/>
        <v>-1.42316992082882</v>
      </c>
      <c r="AP486" s="30" t="str">
        <f t="shared" si="455"/>
        <v>-0,818298147414027-0,676603668136341i</v>
      </c>
      <c r="AQ486" s="32">
        <f t="shared" si="456"/>
        <v>0.520797184267491</v>
      </c>
      <c r="AR486" s="31">
        <f t="shared" si="457"/>
        <v>-140.414611843282</v>
      </c>
      <c r="AS486" t="str">
        <f t="shared" si="433"/>
        <v>-0,000338461538461538</v>
      </c>
      <c r="AT486" t="str">
        <f t="shared" si="434"/>
        <v>0,52644366900417i</v>
      </c>
      <c r="AU486">
        <f t="shared" si="458"/>
        <v>0.52644366900417</v>
      </c>
      <c r="AV486">
        <f t="shared" si="459"/>
        <v>1.5707963267949</v>
      </c>
      <c r="AW486" t="str">
        <f t="shared" si="435"/>
        <v>1+85,4398585928473i</v>
      </c>
      <c r="AX486">
        <f t="shared" si="460"/>
        <v>85.4457104620574</v>
      </c>
      <c r="AY486">
        <f t="shared" si="461"/>
        <v>1.55909272196771</v>
      </c>
      <c r="AZ486" t="str">
        <f t="shared" si="436"/>
        <v>1+745,815747786591i</v>
      </c>
      <c r="BA486">
        <f t="shared" si="462"/>
        <v>745.816418193158</v>
      </c>
      <c r="BB486">
        <f t="shared" si="463"/>
        <v>1.56945551386126</v>
      </c>
      <c r="BC486" s="30" t="str">
        <f t="shared" si="464"/>
        <v>-0,0000581524605075026+0,00561145871450641i</v>
      </c>
      <c r="BD486" s="32">
        <f t="shared" si="465"/>
        <v>-45.018018173718</v>
      </c>
      <c r="BE486" s="31">
        <f t="shared" si="466"/>
        <v>90.5937442394727</v>
      </c>
      <c r="BF486" s="30" t="str">
        <f t="shared" si="467"/>
        <v>-0,00193417567846737-0,000706968870112165i</v>
      </c>
      <c r="BG486" s="68">
        <f t="shared" si="468"/>
        <v>-53.7254805731138</v>
      </c>
      <c r="BH486" s="31">
        <f t="shared" si="469"/>
        <v>-159.921919165051</v>
      </c>
      <c r="BI486" s="30" t="str">
        <f t="shared" si="423"/>
        <v>0,00384431960053153-0,00455250010228036i</v>
      </c>
      <c r="BJ486" s="68">
        <f t="shared" si="470"/>
        <v>-44.4972209894505</v>
      </c>
      <c r="BK486" s="31">
        <f t="shared" si="424"/>
        <v>-49.8208676038095</v>
      </c>
      <c r="BL486" s="32">
        <f t="shared" si="471"/>
        <v>-53.7254805731138</v>
      </c>
      <c r="BM486" s="31">
        <f t="shared" si="472"/>
        <v>-159.921919165051</v>
      </c>
      <c r="BO486">
        <f t="shared" si="473"/>
        <v>0</v>
      </c>
      <c r="BP486">
        <f t="shared" si="474"/>
        <v>0</v>
      </c>
    </row>
    <row r="487" spans="14:68">
      <c r="N487" s="7">
        <v>69</v>
      </c>
      <c r="O487" s="18">
        <f t="shared" si="475"/>
        <v>489778.819368447</v>
      </c>
      <c r="P487" s="86" t="str">
        <f t="shared" si="425"/>
        <v>15</v>
      </c>
      <c r="Q487" s="4" t="str">
        <f t="shared" si="426"/>
        <v>1+897,566565473547i</v>
      </c>
      <c r="R487" s="4">
        <f t="shared" si="437"/>
        <v>897.567122535122</v>
      </c>
      <c r="S487" s="4">
        <f t="shared" si="438"/>
        <v>1.56968220375967</v>
      </c>
      <c r="T487" s="4" t="str">
        <f t="shared" si="427"/>
        <v>1+0,615474216324718i</v>
      </c>
      <c r="U487" s="4">
        <f t="shared" si="439"/>
        <v>1.17422677152266</v>
      </c>
      <c r="V487" s="4">
        <f t="shared" si="440"/>
        <v>0.551719969452476</v>
      </c>
      <c r="W487" t="str">
        <f t="shared" si="428"/>
        <v>1-53,8539939284129i</v>
      </c>
      <c r="X487" s="4">
        <f t="shared" si="441"/>
        <v>53.8632774907129</v>
      </c>
      <c r="Y487" s="4">
        <f t="shared" si="442"/>
        <v>-1.55222973556705</v>
      </c>
      <c r="Z487" t="str">
        <f t="shared" si="429"/>
        <v>-0,70583674241387+2,85755886150761i</v>
      </c>
      <c r="AA487" s="4">
        <f t="shared" si="443"/>
        <v>2.94344154926204</v>
      </c>
      <c r="AB487" s="4">
        <f t="shared" si="444"/>
        <v>1.81295597231086</v>
      </c>
      <c r="AC487" s="67" t="str">
        <f t="shared" si="445"/>
        <v>-0,116105514216514+0,339810658396054i</v>
      </c>
      <c r="AD487" s="68">
        <f t="shared" si="446"/>
        <v>-8.89572678890755</v>
      </c>
      <c r="AE487" s="31">
        <f t="shared" si="447"/>
        <v>108.864121931342</v>
      </c>
      <c r="AF487" s="32" t="str">
        <f t="shared" si="448"/>
        <v>75,4669735059805</v>
      </c>
      <c r="AG487" s="32" t="str">
        <f t="shared" si="430"/>
        <v>1+577,007077804423i</v>
      </c>
      <c r="AH487" s="32">
        <f t="shared" si="449"/>
        <v>577.007944344269</v>
      </c>
      <c r="AI487" s="32">
        <f t="shared" si="450"/>
        <v>1.56906324753594</v>
      </c>
      <c r="AJ487" s="32" t="str">
        <f t="shared" si="431"/>
        <v>1+0,615474216324718i</v>
      </c>
      <c r="AK487" s="32">
        <f t="shared" si="451"/>
        <v>1.17422677152266</v>
      </c>
      <c r="AL487" s="32">
        <f t="shared" si="452"/>
        <v>0.551719969452476</v>
      </c>
      <c r="AM487" s="32" t="str">
        <f t="shared" si="432"/>
        <v>1-6,8812109305024i</v>
      </c>
      <c r="AN487" s="32">
        <f t="shared" si="453"/>
        <v>6.9534929258658</v>
      </c>
      <c r="AO487" s="32">
        <f t="shared" si="454"/>
        <v>-1.42648331695268</v>
      </c>
      <c r="AP487" s="30" t="str">
        <f t="shared" si="455"/>
        <v>-0,818308945857816-0,686133013659672i</v>
      </c>
      <c r="AQ487" s="32">
        <f t="shared" si="456"/>
        <v>0.570602717297585</v>
      </c>
      <c r="AR487" s="31">
        <f t="shared" si="457"/>
        <v>-140.020949757398</v>
      </c>
      <c r="AS487" t="str">
        <f t="shared" si="433"/>
        <v>-0,000338461538461538</v>
      </c>
      <c r="AT487" t="str">
        <f t="shared" si="434"/>
        <v>0,538706117322535i</v>
      </c>
      <c r="AU487">
        <f t="shared" si="458"/>
        <v>0.538706117322535</v>
      </c>
      <c r="AV487">
        <f t="shared" si="459"/>
        <v>1.5707963267949</v>
      </c>
      <c r="AW487" t="str">
        <f t="shared" si="435"/>
        <v>1+87,4300085595193i</v>
      </c>
      <c r="AX487">
        <f t="shared" si="460"/>
        <v>87.4357272327372</v>
      </c>
      <c r="AY487">
        <f t="shared" si="461"/>
        <v>1.55935910503606</v>
      </c>
      <c r="AZ487" t="str">
        <f t="shared" si="436"/>
        <v>1+763,18802824265i</v>
      </c>
      <c r="BA487">
        <f t="shared" si="462"/>
        <v>763.188683388914</v>
      </c>
      <c r="BB487">
        <f t="shared" si="463"/>
        <v>1.56948603445447</v>
      </c>
      <c r="BC487" s="30" t="str">
        <f t="shared" si="464"/>
        <v>-0,0000555355109966989+0,00548375625160957i</v>
      </c>
      <c r="BD487" s="32">
        <f t="shared" si="465"/>
        <v>-45.2179917526046</v>
      </c>
      <c r="BE487" s="31">
        <f t="shared" si="466"/>
        <v>90.580230315102</v>
      </c>
      <c r="BF487" s="30" t="str">
        <f t="shared" si="467"/>
        <v>-0,00185699084328138-0,000655565897987302i</v>
      </c>
      <c r="BG487" s="68">
        <f t="shared" si="468"/>
        <v>-54.1137185415122</v>
      </c>
      <c r="BH487" s="31">
        <f t="shared" si="469"/>
        <v>-160.555647753556</v>
      </c>
      <c r="BI487" s="30" t="str">
        <f t="shared" si="423"/>
        <v>0,00380803140855333-0,00444930205007054i</v>
      </c>
      <c r="BJ487" s="68">
        <f t="shared" si="470"/>
        <v>-44.6473890353071</v>
      </c>
      <c r="BK487" s="31">
        <f t="shared" si="424"/>
        <v>-49.4407194422958</v>
      </c>
      <c r="BL487" s="32">
        <f t="shared" si="471"/>
        <v>-54.1137185415122</v>
      </c>
      <c r="BM487" s="31">
        <f t="shared" si="472"/>
        <v>-160.555647753556</v>
      </c>
      <c r="BO487">
        <f t="shared" si="473"/>
        <v>0</v>
      </c>
      <c r="BP487">
        <f t="shared" si="474"/>
        <v>0</v>
      </c>
    </row>
    <row r="488" spans="14:68">
      <c r="N488" s="7">
        <v>70</v>
      </c>
      <c r="O488" s="18">
        <f t="shared" si="475"/>
        <v>501187.233627273</v>
      </c>
      <c r="P488" s="86" t="str">
        <f t="shared" si="425"/>
        <v>15</v>
      </c>
      <c r="Q488" s="4" t="str">
        <f t="shared" si="426"/>
        <v>1+918,473576554587i</v>
      </c>
      <c r="R488" s="4">
        <f t="shared" si="437"/>
        <v>918.4741209359</v>
      </c>
      <c r="S488" s="4">
        <f t="shared" si="438"/>
        <v>1.56970756427587</v>
      </c>
      <c r="T488" s="4" t="str">
        <f t="shared" si="427"/>
        <v>1+0,629810452494574i</v>
      </c>
      <c r="U488" s="4">
        <f t="shared" si="439"/>
        <v>1.18180421647218</v>
      </c>
      <c r="V488" s="4">
        <f t="shared" si="440"/>
        <v>0.562051040765057</v>
      </c>
      <c r="W488" t="str">
        <f t="shared" si="428"/>
        <v>1-55,1084145932753i</v>
      </c>
      <c r="X488" s="4">
        <f t="shared" si="441"/>
        <v>55.1174868710858</v>
      </c>
      <c r="Y488" s="4">
        <f t="shared" si="442"/>
        <v>-1.55265226895256</v>
      </c>
      <c r="Z488" t="str">
        <f t="shared" si="429"/>
        <v>-0,78623035129572+2,92411995801051i</v>
      </c>
      <c r="AA488" s="4">
        <f t="shared" si="443"/>
        <v>3.02797551082138</v>
      </c>
      <c r="AB488" s="4">
        <f t="shared" si="444"/>
        <v>1.83346172779322</v>
      </c>
      <c r="AC488" s="67" t="str">
        <f t="shared" si="445"/>
        <v>-0,110053720412901+0,333640855074052i</v>
      </c>
      <c r="AD488" s="68">
        <f t="shared" si="446"/>
        <v>-9.08586161960118</v>
      </c>
      <c r="AE488" s="31">
        <f t="shared" si="447"/>
        <v>108.255493040297</v>
      </c>
      <c r="AF488" s="32" t="str">
        <f t="shared" si="448"/>
        <v>75,4669735059805</v>
      </c>
      <c r="AG488" s="32" t="str">
        <f t="shared" si="430"/>
        <v>1+590,447299213664i</v>
      </c>
      <c r="AH488" s="32">
        <f t="shared" si="449"/>
        <v>590.448146028684</v>
      </c>
      <c r="AI488" s="32">
        <f t="shared" si="450"/>
        <v>1.56910269715986</v>
      </c>
      <c r="AJ488" s="32" t="str">
        <f t="shared" si="431"/>
        <v>1+0,629810452494574i</v>
      </c>
      <c r="AK488" s="32">
        <f t="shared" si="451"/>
        <v>1.18180421647218</v>
      </c>
      <c r="AL488" s="32">
        <f t="shared" si="452"/>
        <v>0.562051040765057</v>
      </c>
      <c r="AM488" s="32" t="str">
        <f t="shared" si="432"/>
        <v>1-7,04149492358885i</v>
      </c>
      <c r="AN488" s="32">
        <f t="shared" si="453"/>
        <v>7.11214811143072</v>
      </c>
      <c r="AO488" s="32">
        <f t="shared" si="454"/>
        <v>-1.42972437720047</v>
      </c>
      <c r="AP488" s="30" t="str">
        <f t="shared" si="455"/>
        <v>-0,818319258294429-0,696026154303861i</v>
      </c>
      <c r="AQ488" s="32">
        <f t="shared" si="456"/>
        <v>0.622429954691492</v>
      </c>
      <c r="AR488" s="31">
        <f t="shared" si="457"/>
        <v>-139.616982343638</v>
      </c>
      <c r="AS488" t="str">
        <f t="shared" si="433"/>
        <v>-0,000338461538461538</v>
      </c>
      <c r="AT488" t="str">
        <f t="shared" si="434"/>
        <v>0,551254194754925i</v>
      </c>
      <c r="AU488">
        <f t="shared" si="458"/>
        <v>0.551254194754925</v>
      </c>
      <c r="AV488">
        <f t="shared" si="459"/>
        <v>1.5707963267949</v>
      </c>
      <c r="AW488" t="str">
        <f t="shared" si="435"/>
        <v>1+89,4665150740026i</v>
      </c>
      <c r="AX488">
        <f t="shared" si="460"/>
        <v>89.472103582551</v>
      </c>
      <c r="AY488">
        <f t="shared" si="461"/>
        <v>1.559619426054</v>
      </c>
      <c r="AZ488" t="str">
        <f t="shared" si="436"/>
        <v>1+780,964961093272i</v>
      </c>
      <c r="BA488">
        <f t="shared" si="462"/>
        <v>780.965601326599</v>
      </c>
      <c r="BB488">
        <f t="shared" si="463"/>
        <v>1.56951586031652</v>
      </c>
      <c r="BC488" s="30" t="str">
        <f t="shared" si="464"/>
        <v>-0,0000530363134962871+0,00535895865416759i</v>
      </c>
      <c r="BD488" s="32">
        <f t="shared" si="465"/>
        <v>-45.4179665204833</v>
      </c>
      <c r="BE488" s="31">
        <f t="shared" si="466"/>
        <v>90.5670239154712</v>
      </c>
      <c r="BF488" s="30" t="str">
        <f t="shared" si="467"/>
        <v>-0,00178213070406571-0,000607468418414933i</v>
      </c>
      <c r="BG488" s="68">
        <f t="shared" si="468"/>
        <v>-54.5038281400845</v>
      </c>
      <c r="BH488" s="31">
        <f t="shared" si="469"/>
        <v>-161.177483044231</v>
      </c>
      <c r="BI488" s="30" t="str">
        <f t="shared" si="423"/>
        <v>0,00377337601985662-0,00434842440978766i</v>
      </c>
      <c r="BJ488" s="68">
        <f t="shared" si="470"/>
        <v>-44.7955365657918</v>
      </c>
      <c r="BK488" s="31">
        <f t="shared" si="424"/>
        <v>-49.0499584281672</v>
      </c>
      <c r="BL488" s="32">
        <f t="shared" si="471"/>
        <v>-54.5038281400845</v>
      </c>
      <c r="BM488" s="31">
        <f t="shared" si="472"/>
        <v>-161.177483044231</v>
      </c>
      <c r="BO488">
        <f t="shared" si="473"/>
        <v>0</v>
      </c>
      <c r="BP488">
        <f t="shared" si="474"/>
        <v>0</v>
      </c>
    </row>
    <row r="489" spans="14:68">
      <c r="N489" s="7">
        <v>71</v>
      </c>
      <c r="O489" s="18">
        <f t="shared" si="475"/>
        <v>512861.383991365</v>
      </c>
      <c r="P489" s="86" t="str">
        <f t="shared" si="425"/>
        <v>15</v>
      </c>
      <c r="Q489" s="4" t="str">
        <f t="shared" si="426"/>
        <v>1+939,867574483346i</v>
      </c>
      <c r="R489" s="4">
        <f t="shared" si="437"/>
        <v>939.868106473035</v>
      </c>
      <c r="S489" s="4">
        <f t="shared" si="438"/>
        <v>1.5697323475176</v>
      </c>
      <c r="T489" s="4" t="str">
        <f t="shared" si="427"/>
        <v>1+0,644480622502866i</v>
      </c>
      <c r="U489" s="4">
        <f t="shared" si="439"/>
        <v>1.18968704825331</v>
      </c>
      <c r="V489" s="4">
        <f t="shared" si="440"/>
        <v>0.572485375353804</v>
      </c>
      <c r="W489" t="str">
        <f t="shared" si="428"/>
        <v>1-56,3920544690008i</v>
      </c>
      <c r="X489" s="4">
        <f t="shared" si="441"/>
        <v>56.4009202693959</v>
      </c>
      <c r="Y489" s="4">
        <f t="shared" si="442"/>
        <v>-1.55306519056502</v>
      </c>
      <c r="Z489" t="str">
        <f t="shared" si="429"/>
        <v>-0,87041279423671+2,99223146162044i</v>
      </c>
      <c r="AA489" s="4">
        <f t="shared" si="443"/>
        <v>3.11625858238403</v>
      </c>
      <c r="AB489" s="4">
        <f t="shared" si="444"/>
        <v>1.85387530697349</v>
      </c>
      <c r="AC489" s="67" t="str">
        <f t="shared" si="445"/>
        <v>-0,104243064704831+0,327452493357647i</v>
      </c>
      <c r="AD489" s="68">
        <f t="shared" si="446"/>
        <v>-9.27780434391392</v>
      </c>
      <c r="AE489" s="31">
        <f t="shared" si="447"/>
        <v>107.658645801657</v>
      </c>
      <c r="AF489" s="32" t="str">
        <f t="shared" si="448"/>
        <v>75,4669735059805</v>
      </c>
      <c r="AG489" s="32" t="str">
        <f t="shared" si="430"/>
        <v>1+604,200583596437i</v>
      </c>
      <c r="AH489" s="32">
        <f t="shared" si="449"/>
        <v>604.20141113562</v>
      </c>
      <c r="AI489" s="32">
        <f t="shared" si="450"/>
        <v>1.56914124880581</v>
      </c>
      <c r="AJ489" s="32" t="str">
        <f t="shared" si="431"/>
        <v>1+0,644480622502866i</v>
      </c>
      <c r="AK489" s="32">
        <f t="shared" si="451"/>
        <v>1.18968704825331</v>
      </c>
      <c r="AL489" s="32">
        <f t="shared" si="452"/>
        <v>0.572485375353804</v>
      </c>
      <c r="AM489" s="32" t="str">
        <f t="shared" si="432"/>
        <v>1-7,20551241048894i</v>
      </c>
      <c r="AN489" s="32">
        <f t="shared" si="453"/>
        <v>7.27457277767637</v>
      </c>
      <c r="AO489" s="32">
        <f t="shared" si="454"/>
        <v>-1.43289454751809</v>
      </c>
      <c r="AP489" s="30" t="str">
        <f t="shared" si="455"/>
        <v>-0,818329106597541-0,70628833565549i</v>
      </c>
      <c r="AQ489" s="32">
        <f t="shared" si="456"/>
        <v>0.676308500205152</v>
      </c>
      <c r="AR489" s="31">
        <f t="shared" si="457"/>
        <v>-139.202985235819</v>
      </c>
      <c r="AS489" t="str">
        <f t="shared" si="433"/>
        <v>-0,000338461538461538</v>
      </c>
      <c r="AT489" t="str">
        <f t="shared" si="434"/>
        <v>0,564094554458084i</v>
      </c>
      <c r="AU489">
        <f t="shared" si="458"/>
        <v>0.564094554458084</v>
      </c>
      <c r="AV489">
        <f t="shared" si="459"/>
        <v>1.5707963267949</v>
      </c>
      <c r="AW489" t="str">
        <f t="shared" si="435"/>
        <v>1+91,550457919007i</v>
      </c>
      <c r="AX489">
        <f t="shared" si="460"/>
        <v>91.5559192252466</v>
      </c>
      <c r="AY489">
        <f t="shared" si="461"/>
        <v>1.55987382290597</v>
      </c>
      <c r="AZ489" t="str">
        <f t="shared" si="436"/>
        <v>1+799,155971903554i</v>
      </c>
      <c r="BA489">
        <f t="shared" si="462"/>
        <v>799.156597563402</v>
      </c>
      <c r="BB489">
        <f t="shared" si="463"/>
        <v>1.56954500726126</v>
      </c>
      <c r="BC489" s="30" t="str">
        <f t="shared" si="464"/>
        <v>-0,0000506495709425023+0,0052369999326574i</v>
      </c>
      <c r="BD489" s="32">
        <f t="shared" si="465"/>
        <v>-45.6179424238539</v>
      </c>
      <c r="BE489" s="31">
        <f t="shared" si="466"/>
        <v>90.554118046451</v>
      </c>
      <c r="BF489" s="30" t="str">
        <f t="shared" si="467"/>
        <v>-0,00170958881916146-0,000562506251131818i</v>
      </c>
      <c r="BG489" s="68">
        <f t="shared" si="468"/>
        <v>-54.8957467677679</v>
      </c>
      <c r="BH489" s="31">
        <f t="shared" si="469"/>
        <v>-161.787236151892</v>
      </c>
      <c r="BI489" s="30" t="str">
        <f t="shared" si="423"/>
        <v>0,00374027998440343-0,00424981627498027i</v>
      </c>
      <c r="BJ489" s="68">
        <f t="shared" si="470"/>
        <v>-44.9416339236488</v>
      </c>
      <c r="BK489" s="31">
        <f t="shared" si="424"/>
        <v>-48.6488671893677</v>
      </c>
      <c r="BL489" s="32">
        <f t="shared" si="471"/>
        <v>-54.8957467677679</v>
      </c>
      <c r="BM489" s="31">
        <f t="shared" si="472"/>
        <v>-161.787236151892</v>
      </c>
      <c r="BO489">
        <f t="shared" si="473"/>
        <v>0</v>
      </c>
      <c r="BP489">
        <f t="shared" si="474"/>
        <v>0</v>
      </c>
    </row>
    <row r="490" spans="14:68">
      <c r="N490" s="7">
        <v>72</v>
      </c>
      <c r="O490" s="18">
        <f t="shared" si="475"/>
        <v>524807.460249773</v>
      </c>
      <c r="P490" s="86" t="str">
        <f t="shared" si="425"/>
        <v>15</v>
      </c>
      <c r="Q490" s="4" t="str">
        <f t="shared" si="426"/>
        <v>1+961,759902640719i</v>
      </c>
      <c r="R490" s="4">
        <f t="shared" si="437"/>
        <v>961.760422520851</v>
      </c>
      <c r="S490" s="4">
        <f t="shared" si="438"/>
        <v>1.56975656662514</v>
      </c>
      <c r="T490" s="4" t="str">
        <f t="shared" si="427"/>
        <v>1+0,659492504667922i</v>
      </c>
      <c r="U490" s="4">
        <f t="shared" si="439"/>
        <v>1.19788578909392</v>
      </c>
      <c r="V490" s="4">
        <f t="shared" si="440"/>
        <v>0.583019417035096</v>
      </c>
      <c r="W490" t="str">
        <f t="shared" si="428"/>
        <v>1-57,7055941584432i</v>
      </c>
      <c r="X490" s="4">
        <f t="shared" si="441"/>
        <v>57.7142581792312</v>
      </c>
      <c r="Y490" s="4">
        <f t="shared" si="442"/>
        <v>-1.55346871877736</v>
      </c>
      <c r="Z490" t="str">
        <f t="shared" si="429"/>
        <v>-0,95856263348493+3,0619294859582i</v>
      </c>
      <c r="AA490" s="4">
        <f t="shared" si="443"/>
        <v>3.20846606640834</v>
      </c>
      <c r="AB490" s="4">
        <f t="shared" si="444"/>
        <v>1.87418980114654</v>
      </c>
      <c r="AC490" s="67" t="str">
        <f t="shared" si="445"/>
        <v>-0,0986700300515486+0,321255395822938i</v>
      </c>
      <c r="AD490" s="68">
        <f t="shared" si="446"/>
        <v>-9.47149124268372</v>
      </c>
      <c r="AE490" s="31">
        <f t="shared" si="447"/>
        <v>107.073759036024</v>
      </c>
      <c r="AF490" s="32" t="str">
        <f t="shared" si="448"/>
        <v>75,4669735059805</v>
      </c>
      <c r="AG490" s="32" t="str">
        <f t="shared" si="430"/>
        <v>1+618,274223126177i</v>
      </c>
      <c r="AH490" s="32">
        <f t="shared" si="449"/>
        <v>618.275031828294</v>
      </c>
      <c r="AI490" s="32">
        <f t="shared" si="450"/>
        <v>1.5691789229139</v>
      </c>
      <c r="AJ490" s="32" t="str">
        <f t="shared" si="431"/>
        <v>1+0,659492504667922i</v>
      </c>
      <c r="AK490" s="32">
        <f t="shared" si="451"/>
        <v>1.19788578909392</v>
      </c>
      <c r="AL490" s="32">
        <f t="shared" si="452"/>
        <v>0.583019417035096</v>
      </c>
      <c r="AM490" s="32" t="str">
        <f t="shared" si="432"/>
        <v>1-7,37335035544535i</v>
      </c>
      <c r="AN490" s="32">
        <f t="shared" si="453"/>
        <v>7.44085314088016</v>
      </c>
      <c r="AO490" s="32">
        <f t="shared" si="454"/>
        <v>-1.435995253757</v>
      </c>
      <c r="AP490" s="30" t="str">
        <f t="shared" si="455"/>
        <v>-0,818338511656372-0,716924998963916i</v>
      </c>
      <c r="AQ490" s="32">
        <f t="shared" si="456"/>
        <v>0.732267417764518</v>
      </c>
      <c r="AR490" s="31">
        <f t="shared" si="457"/>
        <v>-138.779245054656</v>
      </c>
      <c r="AS490" t="str">
        <f t="shared" si="433"/>
        <v>-0,000338461538461538</v>
      </c>
      <c r="AT490" t="str">
        <f t="shared" si="434"/>
        <v>0,577234004560692i</v>
      </c>
      <c r="AU490">
        <f t="shared" si="458"/>
        <v>0.577234004560692</v>
      </c>
      <c r="AV490">
        <f t="shared" si="459"/>
        <v>1.5707963267949</v>
      </c>
      <c r="AW490" t="str">
        <f t="shared" si="435"/>
        <v>1+93,6829420286141i</v>
      </c>
      <c r="AX490">
        <f t="shared" si="460"/>
        <v>93.6882790275105</v>
      </c>
      <c r="AY490">
        <f t="shared" si="461"/>
        <v>1.56012243034477</v>
      </c>
      <c r="AZ490" t="str">
        <f t="shared" si="436"/>
        <v>1+817,770705788223i</v>
      </c>
      <c r="BA490">
        <f t="shared" si="462"/>
        <v>817.771317206325</v>
      </c>
      <c r="BB490">
        <f t="shared" si="463"/>
        <v>1.56957349074259</v>
      </c>
      <c r="BC490" s="30" t="str">
        <f t="shared" si="464"/>
        <v>-0,0000483702244456365+0,00511781559076838i</v>
      </c>
      <c r="BD490" s="32">
        <f t="shared" si="465"/>
        <v>-45.8179194116234</v>
      </c>
      <c r="BE490" s="31">
        <f t="shared" si="466"/>
        <v>90.5415058727182</v>
      </c>
      <c r="BF490" s="30" t="str">
        <f t="shared" si="467"/>
        <v>-0,00163935318186145-0,000520514213739727i</v>
      </c>
      <c r="BG490" s="68">
        <f t="shared" si="468"/>
        <v>-55.2894106543072</v>
      </c>
      <c r="BH490" s="31">
        <f t="shared" si="469"/>
        <v>-162.384735091258</v>
      </c>
      <c r="BI490" s="30" t="str">
        <f t="shared" si="423"/>
        <v>0,00370867315459046-0,0041534277703706i</v>
      </c>
      <c r="BJ490" s="68">
        <f t="shared" si="470"/>
        <v>-45.0856519938589</v>
      </c>
      <c r="BK490" s="31">
        <f t="shared" si="424"/>
        <v>-48.2377391819378</v>
      </c>
      <c r="BL490" s="32">
        <f t="shared" si="471"/>
        <v>-55.2894106543072</v>
      </c>
      <c r="BM490" s="31">
        <f t="shared" si="472"/>
        <v>-162.384735091258</v>
      </c>
      <c r="BO490">
        <f t="shared" si="473"/>
        <v>0</v>
      </c>
      <c r="BP490">
        <f t="shared" si="474"/>
        <v>0</v>
      </c>
    </row>
    <row r="491" spans="14:68">
      <c r="N491" s="7">
        <v>73</v>
      </c>
      <c r="O491" s="18">
        <f t="shared" si="475"/>
        <v>537031.796370254</v>
      </c>
      <c r="P491" s="86" t="str">
        <f t="shared" si="425"/>
        <v>15</v>
      </c>
      <c r="Q491" s="4" t="str">
        <f t="shared" si="426"/>
        <v>1+984,16216862887i</v>
      </c>
      <c r="R491" s="4">
        <f t="shared" si="437"/>
        <v>984.162676675091</v>
      </c>
      <c r="S491" s="4">
        <f t="shared" si="438"/>
        <v>1.56978023443966</v>
      </c>
      <c r="T491" s="4" t="str">
        <f t="shared" si="427"/>
        <v>1+0,674854058488368i</v>
      </c>
      <c r="U491" s="4">
        <f t="shared" si="439"/>
        <v>1.20641120695152</v>
      </c>
      <c r="V491" s="4">
        <f t="shared" si="440"/>
        <v>0.593649399548203</v>
      </c>
      <c r="W491" t="str">
        <f t="shared" si="428"/>
        <v>1-59,0497301177322i</v>
      </c>
      <c r="X491" s="4">
        <f t="shared" si="441"/>
        <v>59.0581969499324</v>
      </c>
      <c r="Y491" s="4">
        <f t="shared" si="442"/>
        <v>-1.55386306701961</v>
      </c>
      <c r="Z491" t="str">
        <f t="shared" si="429"/>
        <v>-1,05086684666782+3,13325098583884i</v>
      </c>
      <c r="AA491" s="4">
        <f t="shared" si="443"/>
        <v>3.30478181877195</v>
      </c>
      <c r="AB491" s="4">
        <f t="shared" si="444"/>
        <v>1.89439840123688</v>
      </c>
      <c r="AC491" s="67" t="str">
        <f t="shared" si="445"/>
        <v>-0,0933306659628497+0,31505897400634i</v>
      </c>
      <c r="AD491" s="68">
        <f t="shared" si="446"/>
        <v>-9.66685755575243</v>
      </c>
      <c r="AE491" s="31">
        <f t="shared" si="447"/>
        <v>106.500994119456</v>
      </c>
      <c r="AF491" s="32" t="str">
        <f t="shared" si="448"/>
        <v>75,4669735059805</v>
      </c>
      <c r="AG491" s="32" t="str">
        <f t="shared" si="430"/>
        <v>1+632,675679832845i</v>
      </c>
      <c r="AH491" s="32">
        <f t="shared" si="449"/>
        <v>632.676470126677</v>
      </c>
      <c r="AI491" s="32">
        <f t="shared" si="450"/>
        <v>1.56921573945904</v>
      </c>
      <c r="AJ491" s="32" t="str">
        <f t="shared" si="431"/>
        <v>1+0,674854058488368i</v>
      </c>
      <c r="AK491" s="32">
        <f t="shared" si="451"/>
        <v>1.20641120695152</v>
      </c>
      <c r="AL491" s="32">
        <f t="shared" si="452"/>
        <v>0.593649399548203</v>
      </c>
      <c r="AM491" s="32" t="str">
        <f t="shared" si="432"/>
        <v>1-7,54509774835805i</v>
      </c>
      <c r="AN491" s="32">
        <f t="shared" si="453"/>
        <v>7.6110774554118</v>
      </c>
      <c r="AO491" s="32">
        <f t="shared" si="454"/>
        <v>-1.43902790133623</v>
      </c>
      <c r="AP491" s="30" t="str">
        <f t="shared" si="455"/>
        <v>-0,818347493419992-0,72794178402677i</v>
      </c>
      <c r="AQ491" s="32">
        <f t="shared" si="456"/>
        <v>0.790335104635999</v>
      </c>
      <c r="AR491" s="31">
        <f t="shared" si="457"/>
        <v>-138.34605926005</v>
      </c>
      <c r="AS491" t="str">
        <f t="shared" si="433"/>
        <v>-0,000338461538461538</v>
      </c>
      <c r="AT491" t="str">
        <f t="shared" si="434"/>
        <v>0,590679511773114i</v>
      </c>
      <c r="AU491">
        <f t="shared" si="458"/>
        <v>0.590679511773114</v>
      </c>
      <c r="AV491">
        <f t="shared" si="459"/>
        <v>1.5707963267949</v>
      </c>
      <c r="AW491" t="str">
        <f t="shared" si="435"/>
        <v>1+95,8650980741251i</v>
      </c>
      <c r="AX491">
        <f t="shared" si="460"/>
        <v>95.8703135947809</v>
      </c>
      <c r="AY491">
        <f t="shared" si="461"/>
        <v>1.56036538006236</v>
      </c>
      <c r="AZ491" t="str">
        <f t="shared" si="436"/>
        <v>1+836,819032525576i</v>
      </c>
      <c r="BA491">
        <f t="shared" si="462"/>
        <v>836.819630026113</v>
      </c>
      <c r="BB491">
        <f t="shared" si="463"/>
        <v>1.56960132586265</v>
      </c>
      <c r="BC491" s="30" t="str">
        <f t="shared" si="464"/>
        <v>-0,0000461934425909436+0,00500134259200592i</v>
      </c>
      <c r="BD491" s="32">
        <f t="shared" si="465"/>
        <v>-46.0178974349971</v>
      </c>
      <c r="BE491" s="31">
        <f t="shared" si="466"/>
        <v>90.529180714168</v>
      </c>
      <c r="BF491" s="30" t="str">
        <f t="shared" si="467"/>
        <v>-0,00157140660093146-0,000481332293448801i</v>
      </c>
      <c r="BG491" s="68">
        <f t="shared" si="468"/>
        <v>-55.6847549907495</v>
      </c>
      <c r="BH491" s="31">
        <f t="shared" si="469"/>
        <v>-162.969825166376</v>
      </c>
      <c r="BI491" s="30" t="str">
        <f t="shared" si="423"/>
        <v>0,0036784885369106-0,0040592100368927i</v>
      </c>
      <c r="BJ491" s="68">
        <f t="shared" si="470"/>
        <v>-45.2275623303611</v>
      </c>
      <c r="BK491" s="31">
        <f t="shared" si="424"/>
        <v>-47.8168785458823</v>
      </c>
      <c r="BL491" s="32">
        <f t="shared" si="471"/>
        <v>-55.6847549907495</v>
      </c>
      <c r="BM491" s="31">
        <f t="shared" si="472"/>
        <v>-162.969825166376</v>
      </c>
      <c r="BO491">
        <f t="shared" si="473"/>
        <v>0</v>
      </c>
      <c r="BP491">
        <f t="shared" si="474"/>
        <v>0</v>
      </c>
    </row>
    <row r="492" spans="14:68">
      <c r="N492" s="7">
        <v>74</v>
      </c>
      <c r="O492" s="18">
        <f t="shared" si="475"/>
        <v>549540.873857626</v>
      </c>
      <c r="P492" s="86" t="str">
        <f t="shared" si="425"/>
        <v>15</v>
      </c>
      <c r="Q492" s="4" t="str">
        <f t="shared" si="426"/>
        <v>1+1007,08625042575i</v>
      </c>
      <c r="R492" s="4">
        <f t="shared" si="437"/>
        <v>1007.08674690743</v>
      </c>
      <c r="S492" s="4">
        <f t="shared" si="438"/>
        <v>1.56980336351006</v>
      </c>
      <c r="T492" s="4" t="str">
        <f t="shared" si="427"/>
        <v>1+0,690573428863372i</v>
      </c>
      <c r="U492" s="4">
        <f t="shared" si="439"/>
        <v>1.21527431498083</v>
      </c>
      <c r="V492" s="4">
        <f t="shared" si="440"/>
        <v>0.604371349751661</v>
      </c>
      <c r="W492" t="str">
        <f t="shared" si="428"/>
        <v>1-60,4251750255451i</v>
      </c>
      <c r="X492" s="4">
        <f t="shared" si="441"/>
        <v>60.4334491558091</v>
      </c>
      <c r="Y492" s="4">
        <f t="shared" si="442"/>
        <v>-1.55424844388956</v>
      </c>
      <c r="Z492" t="str">
        <f t="shared" si="429"/>
        <v>-1,14752122339701+3,20623377686565i</v>
      </c>
      <c r="AA492" s="4">
        <f t="shared" si="443"/>
        <v>3.40539865361763</v>
      </c>
      <c r="AB492" s="4">
        <f t="shared" si="444"/>
        <v>1.91449440686272</v>
      </c>
      <c r="AC492" s="67" t="str">
        <f t="shared" si="445"/>
        <v>-0,088220625109529+0,308872211188276i</v>
      </c>
      <c r="AD492" s="68">
        <f t="shared" si="446"/>
        <v>-9.86383761728474</v>
      </c>
      <c r="AE492" s="31">
        <f t="shared" si="447"/>
        <v>105.940494640545</v>
      </c>
      <c r="AF492" s="32" t="str">
        <f t="shared" si="448"/>
        <v>75,4669735059805</v>
      </c>
      <c r="AG492" s="32" t="str">
        <f t="shared" si="430"/>
        <v>1+647,412589559412i</v>
      </c>
      <c r="AH492" s="32">
        <f t="shared" si="449"/>
        <v>647.413361863982</v>
      </c>
      <c r="AI492" s="32">
        <f t="shared" si="450"/>
        <v>1.56925171796143</v>
      </c>
      <c r="AJ492" s="32" t="str">
        <f t="shared" si="431"/>
        <v>1+0,690573428863372i</v>
      </c>
      <c r="AK492" s="32">
        <f t="shared" si="451"/>
        <v>1.21527431498083</v>
      </c>
      <c r="AL492" s="32">
        <f t="shared" si="452"/>
        <v>0.604371349751661</v>
      </c>
      <c r="AM492" s="32" t="str">
        <f t="shared" si="432"/>
        <v>1-7,72084565196807i</v>
      </c>
      <c r="AN492" s="32">
        <f t="shared" si="453"/>
        <v>7.7853360609234</v>
      </c>
      <c r="AO492" s="32">
        <f t="shared" si="454"/>
        <v>-1.44199387495885</v>
      </c>
      <c r="AP492" s="30" t="str">
        <f t="shared" si="455"/>
        <v>-0,818356070939631-0,739344532180733i</v>
      </c>
      <c r="AQ492" s="32">
        <f t="shared" si="456"/>
        <v>0.850539164452005</v>
      </c>
      <c r="AR492" s="31">
        <f t="shared" si="457"/>
        <v>-137.903735952307</v>
      </c>
      <c r="AS492" t="str">
        <f t="shared" si="433"/>
        <v>-0,000338461538461538</v>
      </c>
      <c r="AT492" t="str">
        <f t="shared" si="434"/>
        <v>0,604438205081244i</v>
      </c>
      <c r="AU492">
        <f t="shared" si="458"/>
        <v>0.604438205081244</v>
      </c>
      <c r="AV492">
        <f t="shared" si="459"/>
        <v>1.5707963267949</v>
      </c>
      <c r="AW492" t="str">
        <f t="shared" si="435"/>
        <v>1+98,0980830635592i</v>
      </c>
      <c r="AX492">
        <f t="shared" si="460"/>
        <v>98.1031798707104</v>
      </c>
      <c r="AY492">
        <f t="shared" si="461"/>
        <v>1.56060280075911</v>
      </c>
      <c r="AZ492" t="str">
        <f t="shared" si="436"/>
        <v>1+856,311051790581i</v>
      </c>
      <c r="BA492">
        <f t="shared" si="462"/>
        <v>856.311635690355</v>
      </c>
      <c r="BB492">
        <f t="shared" si="463"/>
        <v>1.56962852737981</v>
      </c>
      <c r="BC492" s="30" t="str">
        <f t="shared" si="464"/>
        <v>-0,0000441146112192763+0,00488751932701549i</v>
      </c>
      <c r="BD492" s="32">
        <f t="shared" si="465"/>
        <v>-46.2178764473753</v>
      </c>
      <c r="BE492" s="31">
        <f t="shared" si="466"/>
        <v>90.5171360424048</v>
      </c>
      <c r="BF492" s="30" t="str">
        <f t="shared" si="467"/>
        <v>-0,00150572708318248-0,00044480578777722i</v>
      </c>
      <c r="BG492" s="68">
        <f t="shared" si="468"/>
        <v>-56.08171406466</v>
      </c>
      <c r="BH492" s="31">
        <f t="shared" si="469"/>
        <v>-163.54236931705</v>
      </c>
      <c r="BI492" s="30" t="str">
        <f t="shared" si="423"/>
        <v>0,003649662150265-0,00396711521650366i</v>
      </c>
      <c r="BJ492" s="68">
        <f t="shared" si="470"/>
        <v>-45.3673372829233</v>
      </c>
      <c r="BK492" s="31">
        <f t="shared" si="424"/>
        <v>-47.3865999099018</v>
      </c>
      <c r="BL492" s="32">
        <f t="shared" si="471"/>
        <v>-56.08171406466</v>
      </c>
      <c r="BM492" s="31">
        <f t="shared" si="472"/>
        <v>-163.54236931705</v>
      </c>
      <c r="BO492">
        <f t="shared" si="473"/>
        <v>0</v>
      </c>
      <c r="BP492">
        <f t="shared" si="474"/>
        <v>0</v>
      </c>
    </row>
    <row r="493" spans="14:68">
      <c r="N493" s="7">
        <v>75</v>
      </c>
      <c r="O493" s="18">
        <f t="shared" si="475"/>
        <v>562341.32519035</v>
      </c>
      <c r="P493" s="86" t="str">
        <f t="shared" si="425"/>
        <v>15</v>
      </c>
      <c r="Q493" s="4" t="str">
        <f t="shared" si="426"/>
        <v>1+1030,54430268297i</v>
      </c>
      <c r="R493" s="4">
        <f t="shared" si="437"/>
        <v>1030.54478786336</v>
      </c>
      <c r="S493" s="4">
        <f t="shared" si="438"/>
        <v>1.56982596609955</v>
      </c>
      <c r="T493" s="4" t="str">
        <f t="shared" si="427"/>
        <v>1+0,706658950411182i</v>
      </c>
      <c r="U493" s="4">
        <f t="shared" si="439"/>
        <v>1.22448637076786</v>
      </c>
      <c r="V493" s="4">
        <f t="shared" si="440"/>
        <v>0.615181091788171</v>
      </c>
      <c r="W493" t="str">
        <f t="shared" si="428"/>
        <v>1-61,8326581609785i</v>
      </c>
      <c r="X493" s="4">
        <f t="shared" si="441"/>
        <v>61.8407439739564</v>
      </c>
      <c r="Y493" s="4">
        <f t="shared" si="442"/>
        <v>-1.55462505326097</v>
      </c>
      <c r="Z493" t="str">
        <f t="shared" si="429"/>
        <v>-1,2487307805642+3,28091655548048i</v>
      </c>
      <c r="AA493" s="4">
        <f t="shared" si="443"/>
        <v>3.51051876598807</v>
      </c>
      <c r="AB493" s="4">
        <f t="shared" si="444"/>
        <v>1.93447123555766</v>
      </c>
      <c r="AC493" s="67" t="str">
        <f t="shared" si="445"/>
        <v>-0,0833352001909931+0,302703648349089i</v>
      </c>
      <c r="AD493" s="68">
        <f t="shared" si="446"/>
        <v>-10.062364995525</v>
      </c>
      <c r="AE493" s="31">
        <f t="shared" si="447"/>
        <v>105.392386104095</v>
      </c>
      <c r="AF493" s="32" t="str">
        <f t="shared" si="448"/>
        <v>75,4669735059805</v>
      </c>
      <c r="AG493" s="32" t="str">
        <f t="shared" si="430"/>
        <v>1+662,492766010483i</v>
      </c>
      <c r="AH493" s="32">
        <f t="shared" si="449"/>
        <v>662.493520735275</v>
      </c>
      <c r="AI493" s="32">
        <f t="shared" si="450"/>
        <v>1.56928687749699</v>
      </c>
      <c r="AJ493" s="32" t="str">
        <f t="shared" si="431"/>
        <v>1+0,706658950411182i</v>
      </c>
      <c r="AK493" s="32">
        <f t="shared" si="451"/>
        <v>1.22448637076786</v>
      </c>
      <c r="AL493" s="32">
        <f t="shared" si="452"/>
        <v>0.615181091788171</v>
      </c>
      <c r="AM493" s="32" t="str">
        <f t="shared" si="432"/>
        <v>1-7,90068725014028i</v>
      </c>
      <c r="AN493" s="32">
        <f t="shared" si="453"/>
        <v>7.96372143062081</v>
      </c>
      <c r="AO493" s="32">
        <f t="shared" si="454"/>
        <v>-1.44489453837927</v>
      </c>
      <c r="AP493" s="30" t="str">
        <f t="shared" si="455"/>
        <v>-0,818364262409096-0,751139289399131i</v>
      </c>
      <c r="AQ493" s="32">
        <f t="shared" si="456"/>
        <v>0.912906280767542</v>
      </c>
      <c r="AR493" s="31">
        <f t="shared" si="457"/>
        <v>-137.452593620764</v>
      </c>
      <c r="AS493" t="str">
        <f t="shared" si="433"/>
        <v>-0,000338461538461538</v>
      </c>
      <c r="AT493" t="str">
        <f t="shared" si="434"/>
        <v>0,618517379526395i</v>
      </c>
      <c r="AU493">
        <f t="shared" si="458"/>
        <v>0.618517379526395</v>
      </c>
      <c r="AV493">
        <f t="shared" si="459"/>
        <v>1.5707963267949</v>
      </c>
      <c r="AW493" t="str">
        <f t="shared" si="435"/>
        <v>1+100,383080955116i</v>
      </c>
      <c r="AX493">
        <f t="shared" si="460"/>
        <v>100.388061750595</v>
      </c>
      <c r="AY493">
        <f t="shared" si="461"/>
        <v>1.56083481821149</v>
      </c>
      <c r="AZ493" t="str">
        <f t="shared" si="436"/>
        <v>1+876,257098509865i</v>
      </c>
      <c r="BA493">
        <f t="shared" si="462"/>
        <v>876.257669118466</v>
      </c>
      <c r="BB493">
        <f t="shared" si="463"/>
        <v>1.56965510971651</v>
      </c>
      <c r="BC493" s="30" t="str">
        <f t="shared" si="464"/>
        <v>-0,0000421293236660262+0,00477628558161361i</v>
      </c>
      <c r="BD493" s="32">
        <f t="shared" si="465"/>
        <v>-46.4178564042548</v>
      </c>
      <c r="BE493" s="31">
        <f t="shared" si="466"/>
        <v>90.505365477313</v>
      </c>
      <c r="BF493" s="30" t="str">
        <f t="shared" si="467"/>
        <v>-0,00144228821548997-0,00041078541508931i</v>
      </c>
      <c r="BG493" s="68">
        <f t="shared" si="468"/>
        <v>-56.4802213997798</v>
      </c>
      <c r="BH493" s="31">
        <f t="shared" si="469"/>
        <v>-164.102248418592</v>
      </c>
      <c r="BI493" s="30" t="str">
        <f t="shared" si="423"/>
        <v>0,0036221328906283-0,00387709643681106i</v>
      </c>
      <c r="BJ493" s="68">
        <f t="shared" si="470"/>
        <v>-45.5049501234873</v>
      </c>
      <c r="BK493" s="31">
        <f t="shared" si="424"/>
        <v>-46.9472281434514</v>
      </c>
      <c r="BL493" s="32">
        <f t="shared" si="471"/>
        <v>-56.4802213997798</v>
      </c>
      <c r="BM493" s="31">
        <f t="shared" si="472"/>
        <v>-164.102248418592</v>
      </c>
      <c r="BO493">
        <f t="shared" si="473"/>
        <v>0</v>
      </c>
      <c r="BP493">
        <f t="shared" si="474"/>
        <v>0</v>
      </c>
    </row>
    <row r="494" spans="14:68">
      <c r="N494" s="7">
        <v>76</v>
      </c>
      <c r="O494" s="18">
        <f t="shared" si="475"/>
        <v>575439.937337157</v>
      </c>
      <c r="P494" s="86" t="str">
        <f t="shared" si="425"/>
        <v>15</v>
      </c>
      <c r="Q494" s="4" t="str">
        <f t="shared" si="426"/>
        <v>1+1054,54876317034i</v>
      </c>
      <c r="R494" s="4">
        <f t="shared" si="437"/>
        <v>1054.54923730668</v>
      </c>
      <c r="S494" s="4">
        <f t="shared" si="438"/>
        <v>1.56984805419226</v>
      </c>
      <c r="T494" s="4" t="str">
        <f t="shared" si="427"/>
        <v>1+0,723119151888234i</v>
      </c>
      <c r="U494" s="4">
        <f t="shared" si="439"/>
        <v>1.23405887534897</v>
      </c>
      <c r="V494" s="4">
        <f t="shared" si="440"/>
        <v>0.626074252234028</v>
      </c>
      <c r="W494" t="str">
        <f t="shared" si="428"/>
        <v>1-63,2729257902205i</v>
      </c>
      <c r="X494" s="4">
        <f t="shared" si="441"/>
        <v>63.2808275708745</v>
      </c>
      <c r="Y494" s="4">
        <f t="shared" si="442"/>
        <v>-1.55499309438955</v>
      </c>
      <c r="Z494" t="str">
        <f t="shared" si="429"/>
        <v>-1,35471019720956+3,35733891948108i</v>
      </c>
      <c r="AA494" s="4">
        <f t="shared" si="443"/>
        <v>3.62035417310046</v>
      </c>
      <c r="AB494" s="4">
        <f t="shared" si="444"/>
        <v>1.95432243210235</v>
      </c>
      <c r="AC494" s="67" t="str">
        <f t="shared" si="445"/>
        <v>-0,0786693607948467+0,296561373220956i</v>
      </c>
      <c r="AD494" s="68">
        <f t="shared" si="446"/>
        <v>-10.2623726366354</v>
      </c>
      <c r="AE494" s="31">
        <f t="shared" si="447"/>
        <v>104.856775685061</v>
      </c>
      <c r="AF494" s="32" t="str">
        <f t="shared" si="448"/>
        <v>75,4669735059805</v>
      </c>
      <c r="AG494" s="32" t="str">
        <f t="shared" si="430"/>
        <v>1+677,92420489522i</v>
      </c>
      <c r="AH494" s="32">
        <f t="shared" si="449"/>
        <v>677.924942440397</v>
      </c>
      <c r="AI494" s="32">
        <f t="shared" si="450"/>
        <v>1.56932123670742</v>
      </c>
      <c r="AJ494" s="32" t="str">
        <f t="shared" si="431"/>
        <v>1+0,723119151888234i</v>
      </c>
      <c r="AK494" s="32">
        <f t="shared" si="451"/>
        <v>1.23405887534897</v>
      </c>
      <c r="AL494" s="32">
        <f t="shared" si="452"/>
        <v>0.626074252234028</v>
      </c>
      <c r="AM494" s="32" t="str">
        <f t="shared" si="432"/>
        <v>1-8,08471789727043i</v>
      </c>
      <c r="AN494" s="32">
        <f t="shared" si="453"/>
        <v>8.14632822064302</v>
      </c>
      <c r="AO494" s="32">
        <f t="shared" si="454"/>
        <v>-1.44773123421774</v>
      </c>
      <c r="AP494" s="30" t="str">
        <f t="shared" si="455"/>
        <v>-0,818372085203342-0,763332309497976i</v>
      </c>
      <c r="AQ494" s="32">
        <f t="shared" si="456"/>
        <v>0.977462091856347</v>
      </c>
      <c r="AR494" s="31">
        <f t="shared" si="457"/>
        <v>-136.992960838709</v>
      </c>
      <c r="AS494" t="str">
        <f t="shared" si="433"/>
        <v>-0,000338461538461538</v>
      </c>
      <c r="AT494" t="str">
        <f t="shared" si="434"/>
        <v>0,632924500073214i</v>
      </c>
      <c r="AU494">
        <f t="shared" si="458"/>
        <v>0.632924500073214</v>
      </c>
      <c r="AV494">
        <f t="shared" si="459"/>
        <v>1.5707963267949</v>
      </c>
      <c r="AW494" t="str">
        <f t="shared" si="435"/>
        <v>1+102,721303284921i</v>
      </c>
      <c r="AX494">
        <f t="shared" si="460"/>
        <v>102.726170709088</v>
      </c>
      <c r="AY494">
        <f t="shared" si="461"/>
        <v>1.56106155533824</v>
      </c>
      <c r="AZ494" t="str">
        <f t="shared" si="436"/>
        <v>1+896,66774834141i</v>
      </c>
      <c r="BA494">
        <f t="shared" si="462"/>
        <v>896.668305961382</v>
      </c>
      <c r="BB494">
        <f t="shared" si="463"/>
        <v>1.56968108696692</v>
      </c>
      <c r="BC494" s="30" t="str">
        <f t="shared" si="464"/>
        <v>-0,0000402333714378876+0,00466758250551211i</v>
      </c>
      <c r="BD494" s="32">
        <f t="shared" si="465"/>
        <v>-46.6178372631347</v>
      </c>
      <c r="BE494" s="31">
        <f t="shared" si="466"/>
        <v>90.4938627837029</v>
      </c>
      <c r="BF494" s="30" t="str">
        <f t="shared" si="467"/>
        <v>-0,00138105954384314-0,000379127396048775i</v>
      </c>
      <c r="BG494" s="68">
        <f t="shared" si="468"/>
        <v>-56.8802098997701</v>
      </c>
      <c r="BH494" s="31">
        <f t="shared" si="469"/>
        <v>-164.649361531236</v>
      </c>
      <c r="BI494" s="30" t="str">
        <f t="shared" si="423"/>
        <v>0,00359584240178329-0,00378910779555601i</v>
      </c>
      <c r="BJ494" s="68">
        <f t="shared" si="470"/>
        <v>-45.6403751712783</v>
      </c>
      <c r="BK494" s="31">
        <f t="shared" si="424"/>
        <v>-46.4990980550062</v>
      </c>
      <c r="BL494" s="32">
        <f t="shared" si="471"/>
        <v>-56.8802098997701</v>
      </c>
      <c r="BM494" s="31">
        <f t="shared" si="472"/>
        <v>-164.649361531236</v>
      </c>
      <c r="BO494">
        <f t="shared" si="473"/>
        <v>0</v>
      </c>
      <c r="BP494">
        <f t="shared" si="474"/>
        <v>0</v>
      </c>
    </row>
    <row r="495" spans="14:68">
      <c r="N495" s="7">
        <v>77</v>
      </c>
      <c r="O495" s="18">
        <f t="shared" si="475"/>
        <v>588843.655355589</v>
      </c>
      <c r="P495" s="86" t="str">
        <f t="shared" si="425"/>
        <v>15</v>
      </c>
      <c r="Q495" s="4" t="str">
        <f t="shared" si="426"/>
        <v>1+1079,11235937055i</v>
      </c>
      <c r="R495" s="4">
        <f t="shared" si="437"/>
        <v>1079.11282271423</v>
      </c>
      <c r="S495" s="4">
        <f t="shared" si="438"/>
        <v>1.56986963949949</v>
      </c>
      <c r="T495" s="4" t="str">
        <f t="shared" si="427"/>
        <v>1+0,739962760711232i</v>
      </c>
      <c r="U495" s="4">
        <f t="shared" si="439"/>
        <v>1.24400357203643</v>
      </c>
      <c r="V495" s="4">
        <f t="shared" si="440"/>
        <v>0.637046266241393</v>
      </c>
      <c r="W495" t="str">
        <f t="shared" si="428"/>
        <v>1-64,7467415622329i</v>
      </c>
      <c r="X495" s="4">
        <f t="shared" si="441"/>
        <v>64.7544634980985</v>
      </c>
      <c r="Y495" s="4">
        <f t="shared" si="442"/>
        <v>-1.55535276201652</v>
      </c>
      <c r="Z495" t="str">
        <f t="shared" si="429"/>
        <v>-1,46568426988468+3,43554138901642i</v>
      </c>
      <c r="AA495" s="4">
        <f t="shared" si="443"/>
        <v>3.73512717516181</v>
      </c>
      <c r="AB495" s="4">
        <f t="shared" si="444"/>
        <v>1.97404167791168</v>
      </c>
      <c r="AC495" s="67" t="str">
        <f t="shared" si="445"/>
        <v>-0,0742177899987526+0,290453012339277i</v>
      </c>
      <c r="AD495" s="68">
        <f t="shared" si="446"/>
        <v>-10.4637930121752</v>
      </c>
      <c r="AE495" s="31">
        <f t="shared" si="447"/>
        <v>104.33375203633</v>
      </c>
      <c r="AF495" s="32" t="str">
        <f t="shared" si="448"/>
        <v>75,4669735059805</v>
      </c>
      <c r="AG495" s="32" t="str">
        <f t="shared" si="430"/>
        <v>1+693,71508816678i</v>
      </c>
      <c r="AH495" s="32">
        <f t="shared" si="449"/>
        <v>693.715808923397</v>
      </c>
      <c r="AI495" s="32">
        <f t="shared" si="450"/>
        <v>1.56935481381009</v>
      </c>
      <c r="AJ495" s="32" t="str">
        <f t="shared" si="431"/>
        <v>1+0,739962760711232i</v>
      </c>
      <c r="AK495" s="32">
        <f t="shared" si="451"/>
        <v>1.24400357203643</v>
      </c>
      <c r="AL495" s="32">
        <f t="shared" si="452"/>
        <v>0.637046266241393</v>
      </c>
      <c r="AM495" s="32" t="str">
        <f t="shared" si="432"/>
        <v>1-8,27303516884363i</v>
      </c>
      <c r="AN495" s="32">
        <f t="shared" si="453"/>
        <v>8.33325332057796</v>
      </c>
      <c r="AO495" s="32">
        <f t="shared" si="454"/>
        <v>-1.4505052838188</v>
      </c>
      <c r="AP495" s="30" t="str">
        <f t="shared" si="455"/>
        <v>-0,818379555915352-0,775930057452233i</v>
      </c>
      <c r="AQ495" s="32">
        <f t="shared" si="456"/>
        <v>1.04423106748292</v>
      </c>
      <c r="AR495" s="31">
        <f t="shared" si="457"/>
        <v>-136.525175903901</v>
      </c>
      <c r="AS495" t="str">
        <f t="shared" si="433"/>
        <v>-0,000338461538461538</v>
      </c>
      <c r="AT495" t="str">
        <f t="shared" si="434"/>
        <v>0,647667205567719i</v>
      </c>
      <c r="AU495">
        <f t="shared" si="458"/>
        <v>0.647667205567719</v>
      </c>
      <c r="AV495">
        <f t="shared" si="459"/>
        <v>1.5707963267949</v>
      </c>
      <c r="AW495" t="str">
        <f t="shared" si="435"/>
        <v>1+105,113989809406i</v>
      </c>
      <c r="AX495">
        <f t="shared" si="460"/>
        <v>105.118746442544</v>
      </c>
      <c r="AY495">
        <f t="shared" si="461"/>
        <v>1.56128313226509</v>
      </c>
      <c r="AZ495" t="str">
        <f t="shared" si="436"/>
        <v>1+917,553823281927i</v>
      </c>
      <c r="BA495">
        <f t="shared" si="462"/>
        <v>917.554368208926</v>
      </c>
      <c r="BB495">
        <f t="shared" si="463"/>
        <v>1.56970647290437</v>
      </c>
      <c r="BC495" s="30" t="str">
        <f t="shared" si="464"/>
        <v>-0,0000384227353078613+0,00456135258172196i</v>
      </c>
      <c r="BD495" s="32">
        <f t="shared" si="465"/>
        <v>-46.8178189834261</v>
      </c>
      <c r="BE495" s="31">
        <f t="shared" si="466"/>
        <v>90.4826218680318</v>
      </c>
      <c r="BF495" s="30" t="str">
        <f t="shared" si="467"/>
        <v>-0,00132200694720243-0,000349693507232991i</v>
      </c>
      <c r="BG495" s="68">
        <f t="shared" si="468"/>
        <v>-57.2816119956013</v>
      </c>
      <c r="BH495" s="31">
        <f t="shared" si="469"/>
        <v>-165.183626095639</v>
      </c>
      <c r="BI495" s="30" t="str">
        <f t="shared" si="423"/>
        <v>0,00357073495185371-0,00370310434498806i</v>
      </c>
      <c r="BJ495" s="68">
        <f t="shared" si="470"/>
        <v>-45.7735879159432</v>
      </c>
      <c r="BK495" s="31">
        <f t="shared" si="424"/>
        <v>-46.0425540358694</v>
      </c>
      <c r="BL495" s="32">
        <f t="shared" si="471"/>
        <v>-57.2816119956013</v>
      </c>
      <c r="BM495" s="31">
        <f t="shared" si="472"/>
        <v>-165.183626095639</v>
      </c>
      <c r="BO495">
        <f t="shared" si="473"/>
        <v>0</v>
      </c>
      <c r="BP495">
        <f t="shared" si="474"/>
        <v>0</v>
      </c>
    </row>
    <row r="496" spans="14:68">
      <c r="N496" s="7">
        <v>78</v>
      </c>
      <c r="O496" s="18">
        <f t="shared" si="475"/>
        <v>602559.586074359</v>
      </c>
      <c r="P496" s="86" t="str">
        <f t="shared" si="425"/>
        <v>15</v>
      </c>
      <c r="Q496" s="4" t="str">
        <f t="shared" si="426"/>
        <v>1+1104,24811522743i</v>
      </c>
      <c r="R496" s="4">
        <f t="shared" si="437"/>
        <v>1104.24856802413</v>
      </c>
      <c r="S496" s="4">
        <f t="shared" si="438"/>
        <v>1.56989073346597</v>
      </c>
      <c r="T496" s="4" t="str">
        <f t="shared" si="427"/>
        <v>1+0,757198707584524i</v>
      </c>
      <c r="U496" s="4">
        <f t="shared" si="439"/>
        <v>1.25433244507494</v>
      </c>
      <c r="V496" s="4">
        <f t="shared" si="440"/>
        <v>0.648092384673351</v>
      </c>
      <c r="W496" t="str">
        <f t="shared" si="428"/>
        <v>1-66,2548869136459i</v>
      </c>
      <c r="X496" s="4">
        <f t="shared" si="441"/>
        <v>66.2624330970423</v>
      </c>
      <c r="Y496" s="4">
        <f t="shared" si="442"/>
        <v>-1.55570424647</v>
      </c>
      <c r="Z496" t="str">
        <f t="shared" si="429"/>
        <v>-1,58188838947628+3,51556542807099i</v>
      </c>
      <c r="AA496" s="4">
        <f t="shared" si="443"/>
        <v>3.85507083667834</v>
      </c>
      <c r="AB496" s="4">
        <f t="shared" si="444"/>
        <v>1.99362280041843</v>
      </c>
      <c r="AC496" s="67" t="str">
        <f t="shared" si="445"/>
        <v>-0,0699749204812676+0,284385725978665i</v>
      </c>
      <c r="AD496" s="68">
        <f t="shared" si="446"/>
        <v>-10.6665582697006</v>
      </c>
      <c r="AE496" s="31">
        <f t="shared" si="447"/>
        <v>103.823385153716</v>
      </c>
      <c r="AF496" s="32" t="str">
        <f t="shared" si="448"/>
        <v>75,4669735059805</v>
      </c>
      <c r="AG496" s="32" t="str">
        <f t="shared" si="430"/>
        <v>1+709,873788360492i</v>
      </c>
      <c r="AH496" s="32">
        <f t="shared" si="449"/>
        <v>709.874492710702</v>
      </c>
      <c r="AI496" s="32">
        <f t="shared" si="450"/>
        <v>1.56938762660774</v>
      </c>
      <c r="AJ496" s="32" t="str">
        <f t="shared" si="431"/>
        <v>1+0,757198707584524i</v>
      </c>
      <c r="AK496" s="32">
        <f t="shared" si="451"/>
        <v>1.25433244507494</v>
      </c>
      <c r="AL496" s="32">
        <f t="shared" si="452"/>
        <v>0.648092384673351</v>
      </c>
      <c r="AM496" s="32" t="str">
        <f t="shared" si="432"/>
        <v>1-8,4657389131699i</v>
      </c>
      <c r="AN496" s="32">
        <f t="shared" si="453"/>
        <v>8.52459590514173</v>
      </c>
      <c r="AO496" s="32">
        <f t="shared" si="454"/>
        <v>-1.45321798715046</v>
      </c>
      <c r="AP496" s="30" t="str">
        <f t="shared" si="455"/>
        <v>-0,818386690391294-0,788939212823959i</v>
      </c>
      <c r="AQ496" s="32">
        <f t="shared" si="456"/>
        <v>1.1132363884044</v>
      </c>
      <c r="AR496" s="31">
        <f t="shared" si="457"/>
        <v>-136.049586424542</v>
      </c>
      <c r="AS496" t="str">
        <f t="shared" si="433"/>
        <v>-0,000338461538461538</v>
      </c>
      <c r="AT496" t="str">
        <f t="shared" si="434"/>
        <v>0,662753312787507i</v>
      </c>
      <c r="AU496">
        <f t="shared" si="458"/>
        <v>0.662753312787507</v>
      </c>
      <c r="AV496">
        <f t="shared" si="459"/>
        <v>1.5707963267949</v>
      </c>
      <c r="AW496" t="str">
        <f t="shared" si="435"/>
        <v>1+107,562409162636i</v>
      </c>
      <c r="AX496">
        <f t="shared" si="460"/>
        <v>107.567057526319</v>
      </c>
      <c r="AY496">
        <f t="shared" si="461"/>
        <v>1.56149966638797</v>
      </c>
      <c r="AZ496" t="str">
        <f t="shared" si="436"/>
        <v>1+938,926397404809i</v>
      </c>
      <c r="BA496">
        <f t="shared" si="462"/>
        <v>938.926929927763</v>
      </c>
      <c r="BB496">
        <f t="shared" si="463"/>
        <v>1.56973128098869</v>
      </c>
      <c r="BC496" s="30" t="str">
        <f t="shared" si="464"/>
        <v>-0,0000366935768098114+0,00445753959662402i</v>
      </c>
      <c r="BD496" s="32">
        <f t="shared" si="465"/>
        <v>-47.0178015263663</v>
      </c>
      <c r="BE496" s="31">
        <f t="shared" si="466"/>
        <v>90.4716367751995</v>
      </c>
      <c r="BF496" s="30" t="str">
        <f t="shared" si="467"/>
        <v>-0,00126509300414513-0,00032235110829568i</v>
      </c>
      <c r="BG496" s="68">
        <f t="shared" si="468"/>
        <v>-57.6843597960669</v>
      </c>
      <c r="BH496" s="31">
        <f t="shared" si="469"/>
        <v>-165.704978071085</v>
      </c>
      <c r="BI496" s="30" t="str">
        <f t="shared" si="423"/>
        <v>0,00354675731537618-0,00361904207616525i</v>
      </c>
      <c r="BJ496" s="68">
        <f t="shared" si="470"/>
        <v>-45.9045651379619</v>
      </c>
      <c r="BK496" s="31">
        <f t="shared" si="424"/>
        <v>-45.577949649343</v>
      </c>
      <c r="BL496" s="32">
        <f t="shared" si="471"/>
        <v>-57.6843597960669</v>
      </c>
      <c r="BM496" s="31">
        <f t="shared" si="472"/>
        <v>-165.704978071085</v>
      </c>
      <c r="BO496">
        <f t="shared" si="473"/>
        <v>0</v>
      </c>
      <c r="BP496">
        <f t="shared" si="474"/>
        <v>0</v>
      </c>
    </row>
    <row r="497" spans="14:68">
      <c r="N497" s="7">
        <v>79</v>
      </c>
      <c r="O497" s="18">
        <f t="shared" si="475"/>
        <v>616595.001861483</v>
      </c>
      <c r="P497" s="86" t="str">
        <f t="shared" si="425"/>
        <v>15</v>
      </c>
      <c r="Q497" s="4" t="str">
        <f t="shared" si="426"/>
        <v>1+1129,96935805146i</v>
      </c>
      <c r="R497" s="4">
        <f t="shared" si="437"/>
        <v>1129.96980054125</v>
      </c>
      <c r="S497" s="4">
        <f t="shared" si="438"/>
        <v>1.56991134727593</v>
      </c>
      <c r="T497" s="4" t="str">
        <f t="shared" si="427"/>
        <v>1+0,774836131235288i</v>
      </c>
      <c r="U497" s="4">
        <f t="shared" si="439"/>
        <v>1.26505771815663</v>
      </c>
      <c r="V497" s="4">
        <f t="shared" si="440"/>
        <v>0.659207682223057</v>
      </c>
      <c r="W497" t="str">
        <f t="shared" si="428"/>
        <v>1-67,7981614830878i</v>
      </c>
      <c r="X497" s="4">
        <f t="shared" si="441"/>
        <v>67.8055359132781</v>
      </c>
      <c r="Y497" s="4">
        <f t="shared" si="442"/>
        <v>-1.55604773376411</v>
      </c>
      <c r="Z497" t="str">
        <f t="shared" si="429"/>
        <v>-1,70356904050179+3,59745346644954i</v>
      </c>
      <c r="AA497" s="4">
        <f t="shared" si="443"/>
        <v>3.98042948926696</v>
      </c>
      <c r="AB497" s="4">
        <f t="shared" si="444"/>
        <v>2.01305978238982</v>
      </c>
      <c r="AC497" s="67" t="str">
        <f t="shared" si="445"/>
        <v>-0,065934969926085+0,278366205842575i</v>
      </c>
      <c r="AD497" s="68">
        <f t="shared" si="446"/>
        <v>-10.8706003858822</v>
      </c>
      <c r="AE497" s="31">
        <f t="shared" si="447"/>
        <v>103.325726301334</v>
      </c>
      <c r="AF497" s="32" t="str">
        <f t="shared" si="448"/>
        <v>75,4669735059805</v>
      </c>
      <c r="AG497" s="32" t="str">
        <f t="shared" si="430"/>
        <v>1+726,408873033083i</v>
      </c>
      <c r="AH497" s="32">
        <f t="shared" si="449"/>
        <v>726.40956135034</v>
      </c>
      <c r="AI497" s="32">
        <f t="shared" si="450"/>
        <v>1.56941969249786</v>
      </c>
      <c r="AJ497" s="32" t="str">
        <f t="shared" si="431"/>
        <v>1+0,774836131235288i</v>
      </c>
      <c r="AK497" s="32">
        <f t="shared" si="451"/>
        <v>1.26505771815663</v>
      </c>
      <c r="AL497" s="32">
        <f t="shared" si="452"/>
        <v>0.659207682223057</v>
      </c>
      <c r="AM497" s="32" t="str">
        <f t="shared" si="432"/>
        <v>1-8,66293130432526i</v>
      </c>
      <c r="AN497" s="32">
        <f t="shared" si="453"/>
        <v>8.7204574870507</v>
      </c>
      <c r="AO497" s="32">
        <f t="shared" si="454"/>
        <v>-1.45587062274101</v>
      </c>
      <c r="AP497" s="30" t="str">
        <f t="shared" si="455"/>
        <v>-0,818393503764174-0,802366673304256i</v>
      </c>
      <c r="AQ497" s="32">
        <f t="shared" si="456"/>
        <v>1.18449982937091</v>
      </c>
      <c r="AR497" s="31">
        <f t="shared" si="457"/>
        <v>-135.566548851007</v>
      </c>
      <c r="AS497" t="str">
        <f t="shared" si="433"/>
        <v>-0,000338461538461538</v>
      </c>
      <c r="AT497" t="str">
        <f t="shared" si="434"/>
        <v>0,678190820586311i</v>
      </c>
      <c r="AU497">
        <f t="shared" si="458"/>
        <v>0.678190820586311</v>
      </c>
      <c r="AV497">
        <f t="shared" si="459"/>
        <v>1.5707963267949</v>
      </c>
      <c r="AW497" t="str">
        <f t="shared" si="435"/>
        <v>1+110,06785952896i</v>
      </c>
      <c r="AX497">
        <f t="shared" si="460"/>
        <v>110.072402087385</v>
      </c>
      <c r="AY497">
        <f t="shared" si="461"/>
        <v>1.56171127243488</v>
      </c>
      <c r="AZ497" t="str">
        <f t="shared" si="436"/>
        <v>1+960,796802731757i</v>
      </c>
      <c r="BA497">
        <f t="shared" si="462"/>
        <v>960.797323133015</v>
      </c>
      <c r="BB497">
        <f t="shared" si="463"/>
        <v>1.56975552437334</v>
      </c>
      <c r="BC497" s="30" t="str">
        <f t="shared" si="464"/>
        <v>-0,0000350422301146835+0,00435608861069265i</v>
      </c>
      <c r="BD497" s="32">
        <f t="shared" si="465"/>
        <v>-47.2177848549362</v>
      </c>
      <c r="BE497" s="31">
        <f t="shared" si="466"/>
        <v>90.4609016854134</v>
      </c>
      <c r="BF497" s="30" t="str">
        <f t="shared" si="467"/>
        <v>-0,00121027735048381-0,000296973144182668i</v>
      </c>
      <c r="BG497" s="68">
        <f t="shared" si="468"/>
        <v>-58.0883852408183</v>
      </c>
      <c r="BH497" s="31">
        <f t="shared" si="469"/>
        <v>-166.213372013252</v>
      </c>
      <c r="BI497" s="30" t="str">
        <f t="shared" si="423"/>
        <v>0,00352385866066329-0,00353687790320969i</v>
      </c>
      <c r="BJ497" s="68">
        <f t="shared" si="470"/>
        <v>-46.0332850255652</v>
      </c>
      <c r="BK497" s="31">
        <f t="shared" si="424"/>
        <v>-45.1056471655934</v>
      </c>
      <c r="BL497" s="32">
        <f t="shared" si="471"/>
        <v>-58.0883852408183</v>
      </c>
      <c r="BM497" s="31">
        <f t="shared" si="472"/>
        <v>-166.213372013252</v>
      </c>
      <c r="BO497">
        <f t="shared" si="473"/>
        <v>0</v>
      </c>
      <c r="BP497">
        <f t="shared" si="474"/>
        <v>0</v>
      </c>
    </row>
    <row r="498" spans="14:68">
      <c r="N498" s="7">
        <v>80</v>
      </c>
      <c r="O498" s="18">
        <f t="shared" si="475"/>
        <v>630957.344480194</v>
      </c>
      <c r="P498" s="86" t="str">
        <f t="shared" si="425"/>
        <v>15</v>
      </c>
      <c r="Q498" s="4" t="str">
        <f t="shared" si="426"/>
        <v>1+1156,28972558604i</v>
      </c>
      <c r="R498" s="4">
        <f t="shared" si="437"/>
        <v>1156.29015800353</v>
      </c>
      <c r="S498" s="4">
        <f t="shared" si="438"/>
        <v>1.56993149185902</v>
      </c>
      <c r="T498" s="4" t="str">
        <f t="shared" si="427"/>
        <v>1+0,792884383259i</v>
      </c>
      <c r="U498" s="4">
        <f t="shared" si="439"/>
        <v>1.27619185282465</v>
      </c>
      <c r="V498" s="4">
        <f t="shared" si="440"/>
        <v>0.670387066499179</v>
      </c>
      <c r="W498" t="str">
        <f t="shared" si="428"/>
        <v>1-69,3773835351626i</v>
      </c>
      <c r="X498" s="4">
        <f t="shared" si="441"/>
        <v>69.3845901204659</v>
      </c>
      <c r="Y498" s="4">
        <f t="shared" si="442"/>
        <v>-1.55638340569596</v>
      </c>
      <c r="Z498" t="str">
        <f t="shared" si="429"/>
        <v>-1,83098432393599+3,68124892227392i</v>
      </c>
      <c r="AA498" s="4">
        <f t="shared" si="443"/>
        <v>4.11145925703299</v>
      </c>
      <c r="AB498" s="4">
        <f t="shared" si="444"/>
        <v>2.03234677111065</v>
      </c>
      <c r="AC498" s="67" t="str">
        <f t="shared" si="445"/>
        <v>-0,062091975522385+0,272400675361435i</v>
      </c>
      <c r="AD498" s="68">
        <f t="shared" si="446"/>
        <v>-11.0758513214636</v>
      </c>
      <c r="AE498" s="31">
        <f t="shared" si="447"/>
        <v>102.840808000104</v>
      </c>
      <c r="AF498" s="32" t="str">
        <f t="shared" si="448"/>
        <v>75,4669735059805</v>
      </c>
      <c r="AG498" s="32" t="str">
        <f t="shared" si="430"/>
        <v>1+743,329109305313i</v>
      </c>
      <c r="AH498" s="32">
        <f t="shared" si="449"/>
        <v>743.329781954571</v>
      </c>
      <c r="AI498" s="32">
        <f t="shared" si="450"/>
        <v>1.56945102848193</v>
      </c>
      <c r="AJ498" s="32" t="str">
        <f t="shared" si="431"/>
        <v>1+0,792884383259i</v>
      </c>
      <c r="AK498" s="32">
        <f t="shared" si="451"/>
        <v>1.27619185282465</v>
      </c>
      <c r="AL498" s="32">
        <f t="shared" si="452"/>
        <v>0.670387066499179</v>
      </c>
      <c r="AM498" s="32" t="str">
        <f t="shared" si="432"/>
        <v>1-8,8647168963256i</v>
      </c>
      <c r="AN498" s="32">
        <f t="shared" si="453"/>
        <v>8.92094197111497</v>
      </c>
      <c r="AO498" s="32">
        <f t="shared" si="454"/>
        <v>-1.45846444765078</v>
      </c>
      <c r="AP498" s="30" t="str">
        <f t="shared" si="455"/>
        <v>-0,818400010485894-0,816219558370795i</v>
      </c>
      <c r="AQ498" s="32">
        <f t="shared" si="456"/>
        <v>1.25804164639372</v>
      </c>
      <c r="AR498" s="31">
        <f t="shared" si="457"/>
        <v>-135.07642795419</v>
      </c>
      <c r="AS498" t="str">
        <f t="shared" si="433"/>
        <v>-0,000338461538461538</v>
      </c>
      <c r="AT498" t="str">
        <f t="shared" si="434"/>
        <v>0,693987914135106i</v>
      </c>
      <c r="AU498">
        <f t="shared" si="458"/>
        <v>0.693987914135106</v>
      </c>
      <c r="AV498">
        <f t="shared" si="459"/>
        <v>1.5707963267949</v>
      </c>
      <c r="AW498" t="str">
        <f t="shared" si="435"/>
        <v>1+112,631669331327i</v>
      </c>
      <c r="AX498">
        <f t="shared" si="460"/>
        <v>112.636108492621</v>
      </c>
      <c r="AY498">
        <f t="shared" si="461"/>
        <v>1.5619180625263</v>
      </c>
      <c r="AZ498" t="str">
        <f t="shared" si="436"/>
        <v>1+983,17663524116i</v>
      </c>
      <c r="BA498">
        <f t="shared" si="462"/>
        <v>983.177143796645</v>
      </c>
      <c r="BB498">
        <f t="shared" si="463"/>
        <v>1.56977921591236</v>
      </c>
      <c r="BC498" s="30" t="str">
        <f t="shared" si="464"/>
        <v>-0,0000334651942713178+0,00425694592985941i</v>
      </c>
      <c r="BD498" s="32">
        <f t="shared" si="465"/>
        <v>-47.4177689337827</v>
      </c>
      <c r="BE498" s="31">
        <f t="shared" si="466"/>
        <v>90.450410911126</v>
      </c>
      <c r="BF498" s="30" t="str">
        <f t="shared" si="467"/>
        <v>-0,00115751702624727-0,000273438123997555i</v>
      </c>
      <c r="BG498" s="68">
        <f t="shared" si="468"/>
        <v>-58.4936202552463</v>
      </c>
      <c r="BH498" s="31">
        <f t="shared" si="469"/>
        <v>-166.70878108877</v>
      </c>
      <c r="BI498" s="30" t="str">
        <f t="shared" ref="BI498:BI560" si="476">IMPRODUCT(AP498,BC498)</f>
        <v>0,00350199044222076-0,0034565696475459i</v>
      </c>
      <c r="BJ498" s="68">
        <f t="shared" si="470"/>
        <v>-46.159727287389</v>
      </c>
      <c r="BK498" s="31">
        <f t="shared" ref="BK498:BK560" si="477">(180/PI())*IMARGUMENT(BI498)</f>
        <v>-44.6260170430645</v>
      </c>
      <c r="BL498" s="32">
        <f t="shared" si="471"/>
        <v>-58.4936202552463</v>
      </c>
      <c r="BM498" s="31">
        <f t="shared" si="472"/>
        <v>-166.70878108877</v>
      </c>
      <c r="BO498">
        <f t="shared" si="473"/>
        <v>0</v>
      </c>
      <c r="BP498">
        <f t="shared" si="474"/>
        <v>0</v>
      </c>
    </row>
    <row r="499" spans="14:68">
      <c r="N499" s="7">
        <v>81</v>
      </c>
      <c r="O499" s="18">
        <f t="shared" si="475"/>
        <v>645654.229034657</v>
      </c>
      <c r="P499" s="86" t="str">
        <f t="shared" si="425"/>
        <v>15</v>
      </c>
      <c r="Q499" s="4" t="str">
        <f t="shared" si="426"/>
        <v>1+1183,22317323843i</v>
      </c>
      <c r="R499" s="4">
        <f t="shared" si="437"/>
        <v>1183.2235958129</v>
      </c>
      <c r="S499" s="4">
        <f t="shared" si="438"/>
        <v>1.56995117789609</v>
      </c>
      <c r="T499" s="4" t="str">
        <f t="shared" si="427"/>
        <v>1+0,811353033077784i</v>
      </c>
      <c r="U499" s="4">
        <f t="shared" si="439"/>
        <v>1.2877475467981</v>
      </c>
      <c r="V499" s="4">
        <f t="shared" si="440"/>
        <v>0.681625288050664</v>
      </c>
      <c r="W499" t="str">
        <f t="shared" si="428"/>
        <v>1-70,9933903943062i</v>
      </c>
      <c r="X499" s="4">
        <f t="shared" si="441"/>
        <v>71.0004329541614</v>
      </c>
      <c r="Y499" s="4">
        <f t="shared" si="442"/>
        <v>-1.55671143994051</v>
      </c>
      <c r="Z499" t="str">
        <f t="shared" si="429"/>
        <v>-1,96440450467797+3,76699622500399i</v>
      </c>
      <c r="AA499" s="4">
        <f t="shared" si="443"/>
        <v>4.24842860563684</v>
      </c>
      <c r="AB499" s="4">
        <f t="shared" si="444"/>
        <v>2.05147808736501</v>
      </c>
      <c r="AC499" s="67" t="str">
        <f t="shared" si="445"/>
        <v>-0,0584398273830426+0,266494892442157i</v>
      </c>
      <c r="AD499" s="68">
        <f t="shared" si="446"/>
        <v>-11.2822431773145</v>
      </c>
      <c r="AE499" s="31">
        <f t="shared" si="447"/>
        <v>102.368644081744</v>
      </c>
      <c r="AF499" s="32" t="str">
        <f t="shared" si="448"/>
        <v>75,4669735059805</v>
      </c>
      <c r="AG499" s="32" t="str">
        <f t="shared" si="430"/>
        <v>1+760,643468510423i</v>
      </c>
      <c r="AH499" s="32">
        <f t="shared" si="449"/>
        <v>760.644125848328</v>
      </c>
      <c r="AI499" s="32">
        <f t="shared" si="450"/>
        <v>1.56948165117449</v>
      </c>
      <c r="AJ499" s="32" t="str">
        <f t="shared" si="431"/>
        <v>1+0,811353033077784i</v>
      </c>
      <c r="AK499" s="32">
        <f t="shared" si="451"/>
        <v>1.2877475467981</v>
      </c>
      <c r="AL499" s="32">
        <f t="shared" si="452"/>
        <v>0.681625288050664</v>
      </c>
      <c r="AM499" s="32" t="str">
        <f t="shared" si="432"/>
        <v>1-9,0712026785628i</v>
      </c>
      <c r="AN499" s="32">
        <f t="shared" si="453"/>
        <v>9.12615570958358</v>
      </c>
      <c r="AO499" s="32">
        <f t="shared" si="454"/>
        <v>-1.46100069747603</v>
      </c>
      <c r="AP499" s="30" t="str">
        <f t="shared" si="455"/>
        <v>-0,818406224357932-0,830505213062977i</v>
      </c>
      <c r="AQ499" s="32">
        <f t="shared" si="456"/>
        <v>1.3338804690483</v>
      </c>
      <c r="AR499" s="31">
        <f t="shared" si="457"/>
        <v>-134.579596251876</v>
      </c>
      <c r="AS499" t="str">
        <f t="shared" si="433"/>
        <v>-0,000338461538461538</v>
      </c>
      <c r="AT499" t="str">
        <f t="shared" si="434"/>
        <v>0,710152969261993i</v>
      </c>
      <c r="AU499">
        <f t="shared" si="458"/>
        <v>0.710152969261993</v>
      </c>
      <c r="AV499">
        <f t="shared" si="459"/>
        <v>1.5707963267949</v>
      </c>
      <c r="AW499" t="str">
        <f t="shared" si="435"/>
        <v>1+115,255197935631i</v>
      </c>
      <c r="AX499">
        <f t="shared" si="460"/>
        <v>115.259536053124</v>
      </c>
      <c r="AY499">
        <f t="shared" si="461"/>
        <v>1.56212014623429</v>
      </c>
      <c r="AZ499" t="str">
        <f t="shared" si="436"/>
        <v>1+1006,07776101645i</v>
      </c>
      <c r="BA499">
        <f t="shared" si="462"/>
        <v>1006.0782579958</v>
      </c>
      <c r="BB499">
        <f t="shared" si="463"/>
        <v>1.56980236816721</v>
      </c>
      <c r="BC499" s="30" t="str">
        <f t="shared" si="464"/>
        <v>-0,0000319591257955395+0,00416005907750484i</v>
      </c>
      <c r="BD499" s="32">
        <f t="shared" si="465"/>
        <v>-47.6177537291434</v>
      </c>
      <c r="BE499" s="31">
        <f t="shared" si="466"/>
        <v>90.4401588940392</v>
      </c>
      <c r="BF499" s="30" t="str">
        <f t="shared" si="467"/>
        <v>-0,00110676681061787-0,00025163007818407i</v>
      </c>
      <c r="BG499" s="68">
        <f t="shared" si="468"/>
        <v>-58.8999969064578</v>
      </c>
      <c r="BH499" s="31">
        <f t="shared" si="469"/>
        <v>-167.191197024217</v>
      </c>
      <c r="BI499" s="30" t="str">
        <f t="shared" si="476"/>
        <v>0,00348110629799384-0,00337807602214855i</v>
      </c>
      <c r="BJ499" s="68">
        <f t="shared" si="470"/>
        <v>-46.2838732600951</v>
      </c>
      <c r="BK499" s="31">
        <f t="shared" si="477"/>
        <v>-44.1394373578367</v>
      </c>
      <c r="BL499" s="32">
        <f t="shared" si="471"/>
        <v>-58.8999969064578</v>
      </c>
      <c r="BM499" s="31">
        <f t="shared" si="472"/>
        <v>-167.191197024217</v>
      </c>
      <c r="BO499">
        <f t="shared" si="473"/>
        <v>0</v>
      </c>
      <c r="BP499">
        <f t="shared" si="474"/>
        <v>0</v>
      </c>
    </row>
    <row r="500" spans="14:68">
      <c r="N500" s="7">
        <v>82</v>
      </c>
      <c r="O500" s="18">
        <f t="shared" si="475"/>
        <v>660693.448007597</v>
      </c>
      <c r="P500" s="86" t="str">
        <f t="shared" si="425"/>
        <v>15</v>
      </c>
      <c r="Q500" s="4" t="str">
        <f t="shared" si="426"/>
        <v>1+1210,78398147909i</v>
      </c>
      <c r="R500" s="4">
        <f t="shared" si="437"/>
        <v>1210.7843944346</v>
      </c>
      <c r="S500" s="4">
        <f t="shared" si="438"/>
        <v>1.56997041582488</v>
      </c>
      <c r="T500" s="4" t="str">
        <f t="shared" si="427"/>
        <v>1+0,83025187301423i</v>
      </c>
      <c r="U500" s="4">
        <f t="shared" si="439"/>
        <v>1.29973773225356</v>
      </c>
      <c r="V500" s="4">
        <f t="shared" si="440"/>
        <v>0.692916951294451</v>
      </c>
      <c r="W500" t="str">
        <f t="shared" si="428"/>
        <v>1-72,6470388887452i</v>
      </c>
      <c r="X500" s="4">
        <f t="shared" si="441"/>
        <v>72.6539211557288</v>
      </c>
      <c r="Y500" s="4">
        <f t="shared" si="442"/>
        <v>-1.55703201014331</v>
      </c>
      <c r="Z500" t="str">
        <f t="shared" si="429"/>
        <v>-2,10411258481897+3,85474083899463i</v>
      </c>
      <c r="AA500" s="4">
        <f t="shared" si="443"/>
        <v>4.39161891623198</v>
      </c>
      <c r="AB500" s="4">
        <f t="shared" si="444"/>
        <v>2.07044823414764</v>
      </c>
      <c r="AC500" s="67" t="str">
        <f t="shared" si="445"/>
        <v>-0,0549723007218997+0,26065415450192i</v>
      </c>
      <c r="AD500" s="68">
        <f t="shared" si="446"/>
        <v>-11.4897083507693</v>
      </c>
      <c r="AE500" s="31">
        <f t="shared" si="447"/>
        <v>101.909229810123</v>
      </c>
      <c r="AF500" s="32" t="str">
        <f t="shared" si="448"/>
        <v>75,4669735059805</v>
      </c>
      <c r="AG500" s="32" t="str">
        <f t="shared" si="430"/>
        <v>1+778,361130950841i</v>
      </c>
      <c r="AH500" s="32">
        <f t="shared" si="449"/>
        <v>778.361773325921</v>
      </c>
      <c r="AI500" s="32">
        <f t="shared" si="450"/>
        <v>1.56951157681183</v>
      </c>
      <c r="AJ500" s="32" t="str">
        <f t="shared" si="431"/>
        <v>1+0,83025187301423i</v>
      </c>
      <c r="AK500" s="32">
        <f t="shared" si="451"/>
        <v>1.29973773225356</v>
      </c>
      <c r="AL500" s="32">
        <f t="shared" si="452"/>
        <v>0.692916951294451</v>
      </c>
      <c r="AM500" s="32" t="str">
        <f t="shared" si="432"/>
        <v>1-9,28249813253171i</v>
      </c>
      <c r="AN500" s="32">
        <f t="shared" si="453"/>
        <v>9.3362075587711</v>
      </c>
      <c r="AO500" s="32">
        <f t="shared" si="454"/>
        <v>-1.46348058638253</v>
      </c>
      <c r="AP500" s="30" t="str">
        <f t="shared" si="455"/>
        <v>-0,818412158560605-0,845231211876613i</v>
      </c>
      <c r="AQ500" s="32">
        <f t="shared" si="456"/>
        <v>1.4120331985624</v>
      </c>
      <c r="AR500" s="31">
        <f t="shared" si="457"/>
        <v>-134.076433385047</v>
      </c>
      <c r="AS500" t="str">
        <f t="shared" si="433"/>
        <v>-0,000338461538461538</v>
      </c>
      <c r="AT500" t="str">
        <f t="shared" si="434"/>
        <v>0,726694556893165i</v>
      </c>
      <c r="AU500">
        <f t="shared" si="458"/>
        <v>0.726694556893165</v>
      </c>
      <c r="AV500">
        <f t="shared" si="459"/>
        <v>1.5707963267949</v>
      </c>
      <c r="AW500" t="str">
        <f t="shared" si="435"/>
        <v>1+117,939836371462i</v>
      </c>
      <c r="AX500">
        <f t="shared" si="460"/>
        <v>117.944075744936</v>
      </c>
      <c r="AY500">
        <f t="shared" si="461"/>
        <v>1.56231763064025</v>
      </c>
      <c r="AZ500" t="str">
        <f t="shared" si="436"/>
        <v>1+1029,51232253764i</v>
      </c>
      <c r="BA500">
        <f t="shared" si="462"/>
        <v>1029.51280820437</v>
      </c>
      <c r="BB500">
        <f t="shared" si="463"/>
        <v>1.56982499341344</v>
      </c>
      <c r="BC500" s="30" t="str">
        <f t="shared" si="464"/>
        <v>-0,0000305208315919311+0,00406537676706459i</v>
      </c>
      <c r="BD500" s="32">
        <f t="shared" si="465"/>
        <v>-47.8177392087745</v>
      </c>
      <c r="BE500" s="31">
        <f t="shared" si="466"/>
        <v>90.4301402021773</v>
      </c>
      <c r="BF500" s="30" t="str">
        <f t="shared" si="467"/>
        <v>-0,00105797954361842-0,000231438495740189i</v>
      </c>
      <c r="BG500" s="68">
        <f t="shared" si="468"/>
        <v>-59.3074475595438</v>
      </c>
      <c r="BH500" s="31">
        <f t="shared" si="469"/>
        <v>-167.6606299877</v>
      </c>
      <c r="BI500" s="30" t="str">
        <f t="shared" si="476"/>
        <v>0,00346116195122525-0,00330135661582153i</v>
      </c>
      <c r="BJ500" s="68">
        <f t="shared" si="470"/>
        <v>-46.4057060102121</v>
      </c>
      <c r="BK500" s="31">
        <f t="shared" si="477"/>
        <v>-43.6462931828694</v>
      </c>
      <c r="BL500" s="32">
        <f t="shared" si="471"/>
        <v>-59.3074475595438</v>
      </c>
      <c r="BM500" s="31">
        <f t="shared" si="472"/>
        <v>-167.6606299877</v>
      </c>
      <c r="BO500">
        <f t="shared" si="473"/>
        <v>0</v>
      </c>
      <c r="BP500">
        <f t="shared" si="474"/>
        <v>0</v>
      </c>
    </row>
    <row r="501" spans="14:68">
      <c r="N501" s="7">
        <v>83</v>
      </c>
      <c r="O501" s="18">
        <f t="shared" si="475"/>
        <v>676082.975391983</v>
      </c>
      <c r="P501" s="86" t="str">
        <f t="shared" si="425"/>
        <v>15</v>
      </c>
      <c r="Q501" s="4" t="str">
        <f t="shared" si="426"/>
        <v>1+1238,98676341334i</v>
      </c>
      <c r="R501" s="4">
        <f t="shared" si="437"/>
        <v>1238.98716696884</v>
      </c>
      <c r="S501" s="4">
        <f t="shared" si="438"/>
        <v>1.56998921584554</v>
      </c>
      <c r="T501" s="4" t="str">
        <f t="shared" si="427"/>
        <v>1+0,849590923483432i</v>
      </c>
      <c r="U501" s="4">
        <f t="shared" si="439"/>
        <v>1.31217557410029</v>
      </c>
      <c r="V501" s="4">
        <f t="shared" si="440"/>
        <v>0.704256526300628</v>
      </c>
      <c r="W501" t="str">
        <f t="shared" si="428"/>
        <v>1-74,3392058048004i</v>
      </c>
      <c r="X501" s="4">
        <f t="shared" si="441"/>
        <v>74.3459314265984</v>
      </c>
      <c r="Y501" s="4">
        <f t="shared" si="442"/>
        <v>-1.55734528601122</v>
      </c>
      <c r="Z501" t="str">
        <f t="shared" si="429"/>
        <v>-2,25040490392802+3,94452928760164i</v>
      </c>
      <c r="AA501" s="4">
        <f t="shared" si="443"/>
        <v>4.54132508551969</v>
      </c>
      <c r="AB501" s="4">
        <f t="shared" si="444"/>
        <v>2.08925190503716</v>
      </c>
      <c r="AC501" s="67" t="str">
        <f t="shared" si="445"/>
        <v>-0,0516830866508679+0,254883305611307i</v>
      </c>
      <c r="AD501" s="68">
        <f t="shared" si="446"/>
        <v>-11.6981796913927</v>
      </c>
      <c r="AE501" s="31">
        <f t="shared" si="447"/>
        <v>101.462542071234</v>
      </c>
      <c r="AF501" s="32" t="str">
        <f t="shared" si="448"/>
        <v>75,4669735059805</v>
      </c>
      <c r="AG501" s="32" t="str">
        <f t="shared" si="430"/>
        <v>1+796,491490765718i</v>
      </c>
      <c r="AH501" s="32">
        <f t="shared" si="449"/>
        <v>796.492118518568</v>
      </c>
      <c r="AI501" s="32">
        <f t="shared" si="450"/>
        <v>1.56954082126074</v>
      </c>
      <c r="AJ501" s="32" t="str">
        <f t="shared" si="431"/>
        <v>1+0,849590923483432i</v>
      </c>
      <c r="AK501" s="32">
        <f t="shared" si="451"/>
        <v>1.31217557410029</v>
      </c>
      <c r="AL501" s="32">
        <f t="shared" si="452"/>
        <v>0.704256526300628</v>
      </c>
      <c r="AM501" s="32" t="str">
        <f t="shared" si="432"/>
        <v>1-9,49871528987888i</v>
      </c>
      <c r="AN501" s="32">
        <f t="shared" si="453"/>
        <v>9.55120893699739</v>
      </c>
      <c r="AO501" s="32">
        <f t="shared" si="454"/>
        <v>-1.46590530716631</v>
      </c>
      <c r="AP501" s="30" t="str">
        <f t="shared" si="455"/>
        <v>-0,818417825681023-0,860405362780293i</v>
      </c>
      <c r="AQ501" s="32">
        <f t="shared" si="456"/>
        <v>1.49251491241707</v>
      </c>
      <c r="AR501" s="31">
        <f t="shared" si="457"/>
        <v>-133.567325446625</v>
      </c>
      <c r="AS501" t="str">
        <f t="shared" si="433"/>
        <v>-0,000338461538461538</v>
      </c>
      <c r="AT501" t="str">
        <f t="shared" si="434"/>
        <v>0,743621447597344i</v>
      </c>
      <c r="AU501">
        <f t="shared" si="458"/>
        <v>0.743621447597344</v>
      </c>
      <c r="AV501">
        <f t="shared" si="459"/>
        <v>1.5707963267949</v>
      </c>
      <c r="AW501" t="str">
        <f t="shared" si="435"/>
        <v>1+120,687008069656i</v>
      </c>
      <c r="AX501">
        <f t="shared" si="460"/>
        <v>120.69115094656</v>
      </c>
      <c r="AY501">
        <f t="shared" si="461"/>
        <v>1.56251062039137</v>
      </c>
      <c r="AZ501" t="str">
        <f t="shared" si="436"/>
        <v>1+1053,49274511946i</v>
      </c>
      <c r="BA501">
        <f t="shared" si="462"/>
        <v>1053.49321973107</v>
      </c>
      <c r="BB501">
        <f t="shared" si="463"/>
        <v>1.56984710364714</v>
      </c>
      <c r="BC501" s="30" t="str">
        <f t="shared" si="464"/>
        <v>-0,0000291472621933839+0,00397284887523777i</v>
      </c>
      <c r="BD501" s="32">
        <f t="shared" si="465"/>
        <v>-48.0177253418832</v>
      </c>
      <c r="BE501" s="31">
        <f t="shared" si="466"/>
        <v>90.4203495270241</v>
      </c>
      <c r="BF501" s="30" t="str">
        <f t="shared" si="467"/>
        <v>-0,00101110643353719-0,000212758243207086i</v>
      </c>
      <c r="BG501" s="68">
        <f t="shared" si="468"/>
        <v>-59.7159050332758</v>
      </c>
      <c r="BH501" s="31">
        <f t="shared" si="469"/>
        <v>-168.117108401742</v>
      </c>
      <c r="BI501" s="30" t="str">
        <f t="shared" si="476"/>
        <v>0,0034421151167191-0,00322637187752984i</v>
      </c>
      <c r="BJ501" s="68">
        <f t="shared" si="470"/>
        <v>-46.5252104294661</v>
      </c>
      <c r="BK501" s="31">
        <f t="shared" si="477"/>
        <v>-43.1469759196011</v>
      </c>
      <c r="BL501" s="32">
        <f t="shared" si="471"/>
        <v>-59.7159050332758</v>
      </c>
      <c r="BM501" s="31">
        <f t="shared" si="472"/>
        <v>-168.117108401742</v>
      </c>
      <c r="BO501">
        <f t="shared" si="473"/>
        <v>0</v>
      </c>
      <c r="BP501">
        <f t="shared" si="474"/>
        <v>0</v>
      </c>
    </row>
    <row r="502" spans="14:68">
      <c r="N502" s="7">
        <v>84</v>
      </c>
      <c r="O502" s="18">
        <f t="shared" si="475"/>
        <v>691830.970918937</v>
      </c>
      <c r="P502" s="86" t="str">
        <f t="shared" si="425"/>
        <v>15</v>
      </c>
      <c r="Q502" s="4" t="str">
        <f t="shared" si="426"/>
        <v>1+1267,84647252948i</v>
      </c>
      <c r="R502" s="4">
        <f t="shared" si="437"/>
        <v>1267.84686689893</v>
      </c>
      <c r="S502" s="4">
        <f t="shared" si="438"/>
        <v>1.57000758792604</v>
      </c>
      <c r="T502" s="4" t="str">
        <f t="shared" si="427"/>
        <v>1+0,86938043830593i</v>
      </c>
      <c r="U502" s="4">
        <f t="shared" si="439"/>
        <v>1.32507446828811</v>
      </c>
      <c r="V502" s="4">
        <f t="shared" si="440"/>
        <v>0.715638361380359</v>
      </c>
      <c r="W502" t="str">
        <f t="shared" si="428"/>
        <v>1-76,0707883517689i</v>
      </c>
      <c r="X502" s="4">
        <f t="shared" si="441"/>
        <v>76.0773608931042</v>
      </c>
      <c r="Y502" s="4">
        <f t="shared" si="442"/>
        <v>-1.55765143340115</v>
      </c>
      <c r="Z502" t="str">
        <f t="shared" si="429"/>
        <v>-2,40359176762767+4,03640917784895i</v>
      </c>
      <c r="AA502" s="4">
        <f t="shared" si="443"/>
        <v>4.69785615322891</v>
      </c>
      <c r="AB502" s="4">
        <f t="shared" si="444"/>
        <v>2.10788399216466</v>
      </c>
      <c r="AC502" s="67" t="str">
        <f t="shared" si="445"/>
        <v>-0,0485658214774709+0,249186745565805i</v>
      </c>
      <c r="AD502" s="68">
        <f t="shared" si="446"/>
        <v>-11.9075906552732</v>
      </c>
      <c r="AE502" s="31">
        <f t="shared" si="447"/>
        <v>101.028539632465</v>
      </c>
      <c r="AF502" s="32" t="str">
        <f t="shared" si="448"/>
        <v>75,4669735059805</v>
      </c>
      <c r="AG502" s="32" t="str">
        <f t="shared" si="430"/>
        <v>1+815,04416091181i</v>
      </c>
      <c r="AH502" s="32">
        <f t="shared" si="449"/>
        <v>815.044774375271</v>
      </c>
      <c r="AI502" s="32">
        <f t="shared" si="450"/>
        <v>1.56956940002678</v>
      </c>
      <c r="AJ502" s="32" t="str">
        <f t="shared" si="431"/>
        <v>1+0,86938043830593i</v>
      </c>
      <c r="AK502" s="32">
        <f t="shared" si="451"/>
        <v>1.32507446828811</v>
      </c>
      <c r="AL502" s="32">
        <f t="shared" si="452"/>
        <v>0.715638361380359</v>
      </c>
      <c r="AM502" s="32" t="str">
        <f t="shared" si="432"/>
        <v>1-9,71996879180311i</v>
      </c>
      <c r="AN502" s="32">
        <f t="shared" si="453"/>
        <v>9.77127388387136</v>
      </c>
      <c r="AO502" s="32">
        <f t="shared" si="454"/>
        <v>-1.46827603133954</v>
      </c>
      <c r="AP502" s="30" t="str">
        <f t="shared" si="455"/>
        <v>-0,818423237739792-0,876035711355497i</v>
      </c>
      <c r="AQ502" s="32">
        <f t="shared" si="456"/>
        <v>1.57533877615432</v>
      </c>
      <c r="AR502" s="31">
        <f t="shared" si="457"/>
        <v>-133.052664265637</v>
      </c>
      <c r="AS502" t="str">
        <f t="shared" si="433"/>
        <v>-0,000338461538461538</v>
      </c>
      <c r="AT502" t="str">
        <f t="shared" si="434"/>
        <v>0,760942616236032i</v>
      </c>
      <c r="AU502">
        <f t="shared" si="458"/>
        <v>0.760942616236032</v>
      </c>
      <c r="AV502">
        <f t="shared" si="459"/>
        <v>1.5707963267949</v>
      </c>
      <c r="AW502" t="str">
        <f t="shared" si="435"/>
        <v>1+123,49816961701i</v>
      </c>
      <c r="AX502">
        <f t="shared" si="460"/>
        <v>123.502218193649</v>
      </c>
      <c r="AY502">
        <f t="shared" si="461"/>
        <v>1.56269921775584</v>
      </c>
      <c r="AZ502" t="str">
        <f t="shared" si="436"/>
        <v>1+1078,03174349935i</v>
      </c>
      <c r="BA502">
        <f t="shared" si="462"/>
        <v>1078.03220730748</v>
      </c>
      <c r="BB502">
        <f t="shared" si="463"/>
        <v>1.56986871059138</v>
      </c>
      <c r="BC502" s="30" t="str">
        <f t="shared" si="464"/>
        <v>-0,0000278355053042096+0,00388242641578544i</v>
      </c>
      <c r="BD502" s="32">
        <f t="shared" si="465"/>
        <v>-48.2177120990625</v>
      </c>
      <c r="BE502" s="31">
        <f t="shared" si="466"/>
        <v>90.4107816807257</v>
      </c>
      <c r="BF502" s="30" t="str">
        <f t="shared" si="467"/>
        <v>-0,000966097349266947-0,000195489467186389i</v>
      </c>
      <c r="BG502" s="68">
        <f t="shared" si="468"/>
        <v>-60.1253027543357</v>
      </c>
      <c r="BH502" s="31">
        <f t="shared" si="469"/>
        <v>-168.560678686809</v>
      </c>
      <c r="BI502" s="30" t="str">
        <f t="shared" si="476"/>
        <v>0,00342392541131316-0,0031530831008035i</v>
      </c>
      <c r="BJ502" s="68">
        <f t="shared" si="470"/>
        <v>-46.6423733229082</v>
      </c>
      <c r="BK502" s="31">
        <f t="shared" si="477"/>
        <v>-42.6418825849111</v>
      </c>
      <c r="BL502" s="32">
        <f t="shared" si="471"/>
        <v>-60.1253027543357</v>
      </c>
      <c r="BM502" s="31">
        <f t="shared" si="472"/>
        <v>-168.560678686809</v>
      </c>
      <c r="BO502">
        <f t="shared" si="473"/>
        <v>0</v>
      </c>
      <c r="BP502">
        <f t="shared" si="474"/>
        <v>0</v>
      </c>
    </row>
    <row r="503" spans="14:68">
      <c r="N503" s="7">
        <v>85</v>
      </c>
      <c r="O503" s="18">
        <f t="shared" si="475"/>
        <v>707945.784384139</v>
      </c>
      <c r="P503" s="86" t="str">
        <f t="shared" si="425"/>
        <v>15</v>
      </c>
      <c r="Q503" s="4" t="str">
        <f t="shared" si="426"/>
        <v>1+1297,37841062729i</v>
      </c>
      <c r="R503" s="4">
        <f t="shared" si="437"/>
        <v>1297.3787960198</v>
      </c>
      <c r="S503" s="4">
        <f t="shared" si="438"/>
        <v>1.57002554180744</v>
      </c>
      <c r="T503" s="4" t="str">
        <f t="shared" si="427"/>
        <v>1+0,88963091014443i</v>
      </c>
      <c r="U503" s="4">
        <f t="shared" si="439"/>
        <v>1.33844804018849</v>
      </c>
      <c r="V503" s="4">
        <f t="shared" si="440"/>
        <v>0.727056696413342</v>
      </c>
      <c r="W503" t="str">
        <f t="shared" si="428"/>
        <v>1-77,8427046376377i</v>
      </c>
      <c r="X503" s="4">
        <f t="shared" si="441"/>
        <v>77.8491275821541</v>
      </c>
      <c r="Y503" s="4">
        <f t="shared" si="442"/>
        <v>-1.55795061440681</v>
      </c>
      <c r="Z503" t="str">
        <f t="shared" si="429"/>
        <v>-2,56399810579397+4,13042922567056i</v>
      </c>
      <c r="AA503" s="4">
        <f t="shared" si="443"/>
        <v>4.86153595839716</v>
      </c>
      <c r="AB503" s="4">
        <f t="shared" si="444"/>
        <v>2.12633959371441</v>
      </c>
      <c r="AC503" s="67" t="str">
        <f t="shared" si="445"/>
        <v>-0,0456141144029193+0,243568440700914i</v>
      </c>
      <c r="AD503" s="68">
        <f t="shared" si="446"/>
        <v>-12.1178754569195</v>
      </c>
      <c r="AE503" s="31">
        <f t="shared" si="447"/>
        <v>100.607163471181</v>
      </c>
      <c r="AF503" s="32" t="str">
        <f t="shared" si="448"/>
        <v>75,4669735059805</v>
      </c>
      <c r="AG503" s="32" t="str">
        <f t="shared" si="430"/>
        <v>1+834,028978260404i</v>
      </c>
      <c r="AH503" s="32">
        <f t="shared" si="449"/>
        <v>834.029577759742</v>
      </c>
      <c r="AI503" s="32">
        <f t="shared" si="450"/>
        <v>1.56959732826263</v>
      </c>
      <c r="AJ503" s="32" t="str">
        <f t="shared" si="431"/>
        <v>1+0,88963091014443i</v>
      </c>
      <c r="AK503" s="32">
        <f t="shared" si="451"/>
        <v>1.33844804018849</v>
      </c>
      <c r="AL503" s="32">
        <f t="shared" si="452"/>
        <v>0.727056696413342</v>
      </c>
      <c r="AM503" s="32" t="str">
        <f t="shared" si="432"/>
        <v>1-9,94637594983976i</v>
      </c>
      <c r="AN503" s="32">
        <f t="shared" si="453"/>
        <v>9.99651912095159</v>
      </c>
      <c r="AO503" s="32">
        <f t="shared" si="454"/>
        <v>-1.47059390923924</v>
      </c>
      <c r="AP503" s="30" t="str">
        <f t="shared" si="455"/>
        <v>-0,818428406216508-0,892130545062691i</v>
      </c>
      <c r="AQ503" s="32">
        <f t="shared" si="456"/>
        <v>1.66051596304233</v>
      </c>
      <c r="AR503" s="31">
        <f t="shared" si="457"/>
        <v>-132.532846650303</v>
      </c>
      <c r="AS503" t="str">
        <f t="shared" si="433"/>
        <v>-0,000338461538461538</v>
      </c>
      <c r="AT503" t="str">
        <f t="shared" si="434"/>
        <v>0,778667246722115i</v>
      </c>
      <c r="AU503">
        <f t="shared" si="458"/>
        <v>0.778667246722115</v>
      </c>
      <c r="AV503">
        <f t="shared" si="459"/>
        <v>1.5707963267949</v>
      </c>
      <c r="AW503" t="str">
        <f t="shared" si="435"/>
        <v>1+126,374811528586i</v>
      </c>
      <c r="AX503">
        <f t="shared" si="460"/>
        <v>126.378767951289</v>
      </c>
      <c r="AY503">
        <f t="shared" si="461"/>
        <v>1.56288352267678</v>
      </c>
      <c r="AZ503" t="str">
        <f t="shared" si="436"/>
        <v>1+1103,14232857909i</v>
      </c>
      <c r="BA503">
        <f t="shared" si="462"/>
        <v>1103.14278182967</v>
      </c>
      <c r="BB503">
        <f t="shared" si="463"/>
        <v>1.56988982570236</v>
      </c>
      <c r="BC503" s="30" t="str">
        <f t="shared" si="464"/>
        <v>-0,0000265827796332021+0,00379406151390734i</v>
      </c>
      <c r="BD503" s="32">
        <f t="shared" si="465"/>
        <v>-48.4176994522282</v>
      </c>
      <c r="BE503" s="31">
        <f t="shared" si="466"/>
        <v>90.4014315933553</v>
      </c>
      <c r="BF503" s="30" t="str">
        <f t="shared" si="467"/>
        <v>-0,000922901096914423-0,000179537482131838i</v>
      </c>
      <c r="BG503" s="68">
        <f t="shared" si="468"/>
        <v>-60.5355749091477</v>
      </c>
      <c r="BH503" s="31">
        <f t="shared" si="469"/>
        <v>-168.991404935464</v>
      </c>
      <c r="BI503" s="30" t="str">
        <f t="shared" si="476"/>
        <v>0,00340655426837154-0,00308145240823113i</v>
      </c>
      <c r="BJ503" s="68">
        <f t="shared" si="470"/>
        <v>-46.7571834891859</v>
      </c>
      <c r="BK503" s="31">
        <f t="shared" si="477"/>
        <v>-42.1314150569482</v>
      </c>
      <c r="BL503" s="32">
        <f t="shared" si="471"/>
        <v>-60.5355749091477</v>
      </c>
      <c r="BM503" s="31">
        <f t="shared" si="472"/>
        <v>-168.991404935464</v>
      </c>
      <c r="BO503">
        <f t="shared" si="473"/>
        <v>0</v>
      </c>
      <c r="BP503">
        <f t="shared" si="474"/>
        <v>0</v>
      </c>
    </row>
    <row r="504" spans="14:68">
      <c r="N504" s="7">
        <v>86</v>
      </c>
      <c r="O504" s="18">
        <f t="shared" si="475"/>
        <v>724435.960074992</v>
      </c>
      <c r="P504" s="86" t="str">
        <f t="shared" si="425"/>
        <v>15</v>
      </c>
      <c r="Q504" s="4" t="str">
        <f t="shared" si="426"/>
        <v>1+1327,59823593125i</v>
      </c>
      <c r="R504" s="4">
        <f t="shared" si="437"/>
        <v>1327.59861255116</v>
      </c>
      <c r="S504" s="4">
        <f t="shared" si="438"/>
        <v>1.57004308700909</v>
      </c>
      <c r="T504" s="4" t="str">
        <f t="shared" si="427"/>
        <v>1+0,910353076067146i</v>
      </c>
      <c r="U504" s="4">
        <f t="shared" si="439"/>
        <v>1.3523101430903</v>
      </c>
      <c r="V504" s="4">
        <f t="shared" si="440"/>
        <v>0.738505676843298</v>
      </c>
      <c r="W504" t="str">
        <f t="shared" si="428"/>
        <v>1-79,6558941558753i</v>
      </c>
      <c r="X504" s="4">
        <f t="shared" si="441"/>
        <v>79.6621709079787</v>
      </c>
      <c r="Y504" s="4">
        <f t="shared" si="442"/>
        <v>-1.55824298744357</v>
      </c>
      <c r="Z504" t="str">
        <f t="shared" si="429"/>
        <v>-2,73196416177621+4,22663928174031i</v>
      </c>
      <c r="AA504" s="4">
        <f t="shared" si="443"/>
        <v>5.03270382589516</v>
      </c>
      <c r="AB504" s="4">
        <f t="shared" si="444"/>
        <v>2.14461402089713</v>
      </c>
      <c r="AC504" s="67" t="str">
        <f t="shared" si="445"/>
        <v>-0,0428215735401946+0,238031936263899i</v>
      </c>
      <c r="AD504" s="68">
        <f t="shared" si="446"/>
        <v>-12.3289692178199</v>
      </c>
      <c r="AE504" s="31">
        <f t="shared" si="447"/>
        <v>100.198337171901</v>
      </c>
      <c r="AF504" s="32" t="str">
        <f t="shared" si="448"/>
        <v>75,4669735059805</v>
      </c>
      <c r="AG504" s="32" t="str">
        <f t="shared" si="430"/>
        <v>1+853,45600881295i</v>
      </c>
      <c r="AH504" s="32">
        <f t="shared" si="449"/>
        <v>853.456594666026</v>
      </c>
      <c r="AI504" s="32">
        <f t="shared" si="450"/>
        <v>1.56962462077602</v>
      </c>
      <c r="AJ504" s="32" t="str">
        <f t="shared" si="431"/>
        <v>1+0,910353076067146i</v>
      </c>
      <c r="AK504" s="32">
        <f t="shared" si="451"/>
        <v>1.3523101430903</v>
      </c>
      <c r="AL504" s="32">
        <f t="shared" si="452"/>
        <v>0.738505676843298</v>
      </c>
      <c r="AM504" s="32" t="str">
        <f t="shared" si="432"/>
        <v>1-10,1780568080609i</v>
      </c>
      <c r="AN504" s="32">
        <f t="shared" si="453"/>
        <v>10.2270641138166</v>
      </c>
      <c r="AO504" s="32">
        <f t="shared" si="454"/>
        <v>-1.47286007015694</v>
      </c>
      <c r="AP504" s="30" t="str">
        <f t="shared" si="455"/>
        <v>-0,81843334207411-0,908698397635656i</v>
      </c>
      <c r="AQ504" s="32">
        <f t="shared" si="456"/>
        <v>1.74805558219762</v>
      </c>
      <c r="AR504" s="31">
        <f t="shared" si="457"/>
        <v>-132.00827359405</v>
      </c>
      <c r="AS504" t="str">
        <f t="shared" si="433"/>
        <v>-0,000338461538461538</v>
      </c>
      <c r="AT504" t="str">
        <f t="shared" si="434"/>
        <v>0,79680473688929i</v>
      </c>
      <c r="AU504">
        <f t="shared" si="458"/>
        <v>0.79680473688929</v>
      </c>
      <c r="AV504">
        <f t="shared" si="459"/>
        <v>1.5707963267949</v>
      </c>
      <c r="AW504" t="str">
        <f t="shared" si="435"/>
        <v>1+129,318459038003i</v>
      </c>
      <c r="AX504">
        <f t="shared" si="460"/>
        <v>129.322325404254</v>
      </c>
      <c r="AY504">
        <f t="shared" si="461"/>
        <v>1.56306363282498</v>
      </c>
      <c r="AZ504" t="str">
        <f t="shared" si="436"/>
        <v>1+1128,83781432326i</v>
      </c>
      <c r="BA504">
        <f t="shared" si="462"/>
        <v>1128.8382572566</v>
      </c>
      <c r="BB504">
        <f t="shared" si="463"/>
        <v>1.56991046017551</v>
      </c>
      <c r="BC504" s="30" t="str">
        <f t="shared" si="464"/>
        <v>-0,0000253864290036565+0,00370770738118392i</v>
      </c>
      <c r="BD504" s="32">
        <f t="shared" si="465"/>
        <v>-48.6176873745598</v>
      </c>
      <c r="BE504" s="31">
        <f t="shared" si="466"/>
        <v>90.3922943102399</v>
      </c>
      <c r="BF504" s="30" t="str">
        <f t="shared" si="467"/>
        <v>-0,000881465680206656-0,000164812645139456i</v>
      </c>
      <c r="BG504" s="68">
        <f t="shared" si="468"/>
        <v>-60.9466565923798</v>
      </c>
      <c r="BH504" s="31">
        <f t="shared" si="469"/>
        <v>-169.409368517859</v>
      </c>
      <c r="BI504" s="30" t="str">
        <f t="shared" si="476"/>
        <v>0,00338996485611651-0,00301144273605789i</v>
      </c>
      <c r="BJ504" s="68">
        <f t="shared" si="470"/>
        <v>-46.8696317923622</v>
      </c>
      <c r="BK504" s="31">
        <f t="shared" si="477"/>
        <v>-41.6159792838106</v>
      </c>
      <c r="BL504" s="32">
        <f t="shared" si="471"/>
        <v>-60.9466565923798</v>
      </c>
      <c r="BM504" s="31">
        <f t="shared" si="472"/>
        <v>-169.409368517859</v>
      </c>
      <c r="BO504">
        <f t="shared" si="473"/>
        <v>0</v>
      </c>
      <c r="BP504">
        <f t="shared" si="474"/>
        <v>0</v>
      </c>
    </row>
    <row r="505" spans="14:68">
      <c r="N505" s="7">
        <v>87</v>
      </c>
      <c r="O505" s="18">
        <f t="shared" si="475"/>
        <v>741310.241300918</v>
      </c>
      <c r="P505" s="86" t="str">
        <f t="shared" si="425"/>
        <v>15</v>
      </c>
      <c r="Q505" s="4" t="str">
        <f t="shared" si="426"/>
        <v>1+1358,52197139274i</v>
      </c>
      <c r="R505" s="4">
        <f t="shared" si="437"/>
        <v>1358.52233943974</v>
      </c>
      <c r="S505" s="4">
        <f t="shared" si="438"/>
        <v>1.57006023283363</v>
      </c>
      <c r="T505" s="4" t="str">
        <f t="shared" si="427"/>
        <v>1+0,931557923240736i</v>
      </c>
      <c r="U505" s="4">
        <f t="shared" si="439"/>
        <v>1.36667485685242</v>
      </c>
      <c r="V505" s="4">
        <f t="shared" si="440"/>
        <v>0.749979368262513</v>
      </c>
      <c r="W505" t="str">
        <f t="shared" si="428"/>
        <v>1-81,5113182835645i</v>
      </c>
      <c r="X505" s="4">
        <f t="shared" si="441"/>
        <v>81.5174521702228</v>
      </c>
      <c r="Y505" s="4">
        <f t="shared" si="442"/>
        <v>-1.55852870733144</v>
      </c>
      <c r="Z505" t="str">
        <f t="shared" si="429"/>
        <v>-2,90784621409868+4,3250903579034i</v>
      </c>
      <c r="AA505" s="4">
        <f t="shared" si="443"/>
        <v>5.21171528470973</v>
      </c>
      <c r="AB505" s="4">
        <f t="shared" si="444"/>
        <v>2.16270280434113</v>
      </c>
      <c r="AC505" s="67" t="str">
        <f t="shared" si="445"/>
        <v>-0,0401818301904292+0,232580370155083i</v>
      </c>
      <c r="AD505" s="68">
        <f t="shared" si="446"/>
        <v>-12.540808110727</v>
      </c>
      <c r="AE505" s="31">
        <f t="shared" si="447"/>
        <v>99.8019673907099</v>
      </c>
      <c r="AF505" s="32" t="str">
        <f t="shared" si="448"/>
        <v>75,4669735059805</v>
      </c>
      <c r="AG505" s="32" t="str">
        <f t="shared" si="430"/>
        <v>1+873,33555303819i</v>
      </c>
      <c r="AH505" s="32">
        <f t="shared" si="449"/>
        <v>873.336125555631</v>
      </c>
      <c r="AI505" s="32">
        <f t="shared" si="450"/>
        <v>1.56965129203765</v>
      </c>
      <c r="AJ505" s="32" t="str">
        <f t="shared" si="431"/>
        <v>1+0,931557923240736i</v>
      </c>
      <c r="AK505" s="32">
        <f t="shared" si="451"/>
        <v>1.36667485685242</v>
      </c>
      <c r="AL505" s="32">
        <f t="shared" si="452"/>
        <v>0.749979368262513</v>
      </c>
      <c r="AM505" s="32" t="str">
        <f t="shared" si="432"/>
        <v>1-10,4151342067241i</v>
      </c>
      <c r="AN505" s="32">
        <f t="shared" si="453"/>
        <v>10.463031135578</v>
      </c>
      <c r="AO505" s="32">
        <f t="shared" si="454"/>
        <v>-1.47507562248736</v>
      </c>
      <c r="AP505" s="30" t="str">
        <f t="shared" si="455"/>
        <v>-0,818438055782119-0,925748053606359i</v>
      </c>
      <c r="AQ505" s="32">
        <f t="shared" si="456"/>
        <v>1.83796461570237</v>
      </c>
      <c r="AR505" s="31">
        <f t="shared" si="457"/>
        <v>-131.479349448843</v>
      </c>
      <c r="AS505" t="str">
        <f t="shared" si="433"/>
        <v>-0,000338461538461538</v>
      </c>
      <c r="AT505" t="str">
        <f t="shared" si="434"/>
        <v>0,815364703474919i</v>
      </c>
      <c r="AU505">
        <f t="shared" si="458"/>
        <v>0.815364703474919</v>
      </c>
      <c r="AV505">
        <f t="shared" si="459"/>
        <v>1.5707963267949</v>
      </c>
      <c r="AW505" t="str">
        <f t="shared" si="435"/>
        <v>1+132,330672906134i</v>
      </c>
      <c r="AX505">
        <f t="shared" si="460"/>
        <v>132.334451265686</v>
      </c>
      <c r="AY505">
        <f t="shared" si="461"/>
        <v>1.56323964365047</v>
      </c>
      <c r="AZ505" t="str">
        <f t="shared" si="436"/>
        <v>1+1155,13182481851i</v>
      </c>
      <c r="BA505">
        <f t="shared" si="462"/>
        <v>1155.13225766946</v>
      </c>
      <c r="BB505">
        <f t="shared" si="463"/>
        <v>1.56993062495143</v>
      </c>
      <c r="BC505" s="30" t="str">
        <f t="shared" si="464"/>
        <v>-0,0000242439167279394+0,00362331829107312i</v>
      </c>
      <c r="BD505" s="32">
        <f t="shared" si="465"/>
        <v>-48.817675840444</v>
      </c>
      <c r="BE505" s="31">
        <f t="shared" si="466"/>
        <v>90.3833649893464</v>
      </c>
      <c r="BF505" s="30" t="str">
        <f t="shared" si="467"/>
        <v>-0,000841738544382356-0,000151230219424369i</v>
      </c>
      <c r="BG505" s="68">
        <f t="shared" si="468"/>
        <v>-61.358483951171</v>
      </c>
      <c r="BH505" s="31">
        <f t="shared" si="469"/>
        <v>-169.814667619944</v>
      </c>
      <c r="BI505" s="30" t="str">
        <f t="shared" si="476"/>
        <v>0,00337412199962862-0,00294301781890299i</v>
      </c>
      <c r="BJ505" s="68">
        <f t="shared" si="470"/>
        <v>-46.9797112247416</v>
      </c>
      <c r="BK505" s="31">
        <f t="shared" si="477"/>
        <v>-41.0959844594966</v>
      </c>
      <c r="BL505" s="32">
        <f t="shared" si="471"/>
        <v>-61.358483951171</v>
      </c>
      <c r="BM505" s="31">
        <f t="shared" si="472"/>
        <v>-169.814667619944</v>
      </c>
      <c r="BO505">
        <f t="shared" si="473"/>
        <v>0</v>
      </c>
      <c r="BP505">
        <f t="shared" si="474"/>
        <v>0</v>
      </c>
    </row>
    <row r="506" spans="14:68">
      <c r="N506" s="7">
        <v>88</v>
      </c>
      <c r="O506" s="18">
        <f t="shared" si="475"/>
        <v>758577.575029184</v>
      </c>
      <c r="P506" s="86" t="str">
        <f t="shared" si="425"/>
        <v>15</v>
      </c>
      <c r="Q506" s="4" t="str">
        <f t="shared" si="426"/>
        <v>1+1390,16601318563i</v>
      </c>
      <c r="R506" s="4">
        <f t="shared" si="437"/>
        <v>1390.16637285486</v>
      </c>
      <c r="S506" s="4">
        <f t="shared" si="438"/>
        <v>1.57007698837198</v>
      </c>
      <c r="T506" s="4" t="str">
        <f t="shared" si="427"/>
        <v>1+0,953256694755858i</v>
      </c>
      <c r="U506" s="4">
        <f t="shared" si="439"/>
        <v>1.38155648675574</v>
      </c>
      <c r="V506" s="4">
        <f t="shared" si="440"/>
        <v>0.761471771499689</v>
      </c>
      <c r="W506" t="str">
        <f t="shared" si="428"/>
        <v>1-83,4099607911376i</v>
      </c>
      <c r="X506" s="4">
        <f t="shared" si="441"/>
        <v>83.4159550636394</v>
      </c>
      <c r="Y506" s="4">
        <f t="shared" si="442"/>
        <v>-1.55880792537617</v>
      </c>
      <c r="Z506" t="str">
        <f t="shared" si="429"/>
        <v>-3,09201733217536+4,42583465422361i</v>
      </c>
      <c r="AA506" s="4">
        <f t="shared" si="443"/>
        <v>5.3989428195712</v>
      </c>
      <c r="AB506" s="4">
        <f t="shared" si="444"/>
        <v>2.18060169985216</v>
      </c>
      <c r="AC506" s="67" t="str">
        <f t="shared" si="445"/>
        <v>-0,0376885613341243+0,227216487852958i</v>
      </c>
      <c r="AD506" s="68">
        <f t="shared" si="446"/>
        <v>-12.7533294987475</v>
      </c>
      <c r="AE506" s="31">
        <f t="shared" si="447"/>
        <v>99.4179443847772</v>
      </c>
      <c r="AF506" s="32" t="str">
        <f t="shared" si="448"/>
        <v>75,4669735059805</v>
      </c>
      <c r="AG506" s="32" t="str">
        <f t="shared" si="430"/>
        <v>1+893,678151333617i</v>
      </c>
      <c r="AH506" s="32">
        <f t="shared" si="449"/>
        <v>893.678710818979</v>
      </c>
      <c r="AI506" s="32">
        <f t="shared" si="450"/>
        <v>1.56967735618882</v>
      </c>
      <c r="AJ506" s="32" t="str">
        <f t="shared" si="431"/>
        <v>1+0,953256694755858i</v>
      </c>
      <c r="AK506" s="32">
        <f t="shared" si="451"/>
        <v>1.38155648675574</v>
      </c>
      <c r="AL506" s="32">
        <f t="shared" si="452"/>
        <v>0.761471771499689</v>
      </c>
      <c r="AM506" s="32" t="str">
        <f t="shared" si="432"/>
        <v>1-10,6577338474043i</v>
      </c>
      <c r="AN506" s="32">
        <f t="shared" si="453"/>
        <v>10.7045453318722</v>
      </c>
      <c r="AO506" s="32">
        <f t="shared" si="454"/>
        <v>-1.47724165389448</v>
      </c>
      <c r="AP506" s="30" t="str">
        <f t="shared" si="455"/>
        <v>-0,81844255733886-0,943288552962837i</v>
      </c>
      <c r="AQ506" s="32">
        <f t="shared" si="456"/>
        <v>1.93024786518792</v>
      </c>
      <c r="AR506" s="31">
        <f t="shared" si="457"/>
        <v>-130.946481070669</v>
      </c>
      <c r="AS506" t="str">
        <f t="shared" si="433"/>
        <v>-0,000338461538461538</v>
      </c>
      <c r="AT506" t="str">
        <f t="shared" si="434"/>
        <v>0,83435698721896i</v>
      </c>
      <c r="AU506">
        <f t="shared" si="458"/>
        <v>0.83435698721896</v>
      </c>
      <c r="AV506">
        <f t="shared" si="459"/>
        <v>1.5707963267949</v>
      </c>
      <c r="AW506" t="str">
        <f t="shared" si="435"/>
        <v>1+135,413050248644i</v>
      </c>
      <c r="AX506">
        <f t="shared" si="460"/>
        <v>135.416742604605</v>
      </c>
      <c r="AY506">
        <f t="shared" si="461"/>
        <v>1.56341164843286</v>
      </c>
      <c r="AZ506" t="str">
        <f t="shared" si="436"/>
        <v>1+1182,03830149726i</v>
      </c>
      <c r="BA506">
        <f t="shared" si="462"/>
        <v>1182.03872449532</v>
      </c>
      <c r="BB506">
        <f t="shared" si="463"/>
        <v>1.5699503307217</v>
      </c>
      <c r="BC506" s="30" t="str">
        <f t="shared" si="464"/>
        <v>-0,000023152820234749+0,00354084955494975i</v>
      </c>
      <c r="BD506" s="32">
        <f t="shared" si="465"/>
        <v>-49.0176648254196</v>
      </c>
      <c r="BE506" s="31">
        <f t="shared" si="466"/>
        <v>90.3746388987279</v>
      </c>
      <c r="BF506" s="30" t="str">
        <f t="shared" si="467"/>
        <v>-0,000803666803405916-0,000138710228124261i</v>
      </c>
      <c r="BG506" s="68">
        <f t="shared" si="468"/>
        <v>-61.7709943241671</v>
      </c>
      <c r="BH506" s="31">
        <f t="shared" si="469"/>
        <v>-170.207416716495</v>
      </c>
      <c r="BI506" s="30" t="str">
        <f t="shared" si="476"/>
        <v>0,00335899210635019-0,00287614217460899i</v>
      </c>
      <c r="BJ506" s="68">
        <f t="shared" si="470"/>
        <v>-47.0874169602317</v>
      </c>
      <c r="BK506" s="31">
        <f t="shared" si="477"/>
        <v>-40.5718421719412</v>
      </c>
      <c r="BL506" s="32">
        <f t="shared" si="471"/>
        <v>-61.7709943241671</v>
      </c>
      <c r="BM506" s="31">
        <f t="shared" si="472"/>
        <v>-170.207416716495</v>
      </c>
      <c r="BO506">
        <f t="shared" si="473"/>
        <v>0</v>
      </c>
      <c r="BP506">
        <f t="shared" si="474"/>
        <v>0</v>
      </c>
    </row>
    <row r="507" spans="14:68">
      <c r="N507" s="7">
        <v>89</v>
      </c>
      <c r="O507" s="18">
        <f t="shared" si="475"/>
        <v>776247.116628692</v>
      </c>
      <c r="P507" s="86" t="str">
        <f t="shared" si="425"/>
        <v>15</v>
      </c>
      <c r="Q507" s="4" t="str">
        <f t="shared" si="426"/>
        <v>1+1422,54713939973i</v>
      </c>
      <c r="R507" s="4">
        <f t="shared" si="437"/>
        <v>1422.54749088189</v>
      </c>
      <c r="S507" s="4">
        <f t="shared" si="438"/>
        <v>1.5700933625081</v>
      </c>
      <c r="T507" s="4" t="str">
        <f t="shared" si="427"/>
        <v>1+0,975460895588384i</v>
      </c>
      <c r="U507" s="4">
        <f t="shared" si="439"/>
        <v>1.39696956259687</v>
      </c>
      <c r="V507" s="4">
        <f t="shared" si="440"/>
        <v>0.772976838119463</v>
      </c>
      <c r="W507" t="str">
        <f t="shared" si="428"/>
        <v>1-85,3528283639837i</v>
      </c>
      <c r="X507" s="4">
        <f t="shared" si="441"/>
        <v>85.3586861996579</v>
      </c>
      <c r="Y507" s="4">
        <f t="shared" si="442"/>
        <v>-1.55908078944861</v>
      </c>
      <c r="Z507" t="str">
        <f t="shared" si="429"/>
        <v>-3,2848681676399+4,52892558666034i</v>
      </c>
      <c r="AA507" s="4">
        <f t="shared" si="443"/>
        <v>5.59477665758702</v>
      </c>
      <c r="AB507" s="4">
        <f t="shared" si="444"/>
        <v>2.19830669349918</v>
      </c>
      <c r="AC507" s="67" t="str">
        <f t="shared" si="445"/>
        <v>-0,0353355103112473+0,221942658340603i</v>
      </c>
      <c r="AD507" s="68">
        <f t="shared" si="446"/>
        <v>-12.9664720683424</v>
      </c>
      <c r="AE507" s="31">
        <f t="shared" si="447"/>
        <v>99.0461426042021</v>
      </c>
      <c r="AF507" s="32" t="str">
        <f t="shared" si="448"/>
        <v>75,4669735059805</v>
      </c>
      <c r="AG507" s="32" t="str">
        <f t="shared" si="430"/>
        <v>1+914,494589614111i</v>
      </c>
      <c r="AH507" s="32">
        <f t="shared" si="449"/>
        <v>914.495136364038</v>
      </c>
      <c r="AI507" s="32">
        <f t="shared" si="450"/>
        <v>1.56970282704894</v>
      </c>
      <c r="AJ507" s="32" t="str">
        <f t="shared" si="431"/>
        <v>1+0,975460895588384i</v>
      </c>
      <c r="AK507" s="32">
        <f t="shared" si="451"/>
        <v>1.39696956259687</v>
      </c>
      <c r="AL507" s="32">
        <f t="shared" si="452"/>
        <v>0.772976838119463</v>
      </c>
      <c r="AM507" s="32" t="str">
        <f t="shared" si="432"/>
        <v>1-10,9059843596423i</v>
      </c>
      <c r="AN507" s="32">
        <f t="shared" si="453"/>
        <v>10.9517347873642</v>
      </c>
      <c r="AO507" s="32">
        <f t="shared" si="454"/>
        <v>-1.47935923149318</v>
      </c>
      <c r="AP507" s="30" t="str">
        <f t="shared" si="455"/>
        <v>-0,818446856292679-0,961329195942469i</v>
      </c>
      <c r="AQ507" s="32">
        <f t="shared" si="456"/>
        <v>2.02490790827865</v>
      </c>
      <c r="AR507" s="31">
        <f t="shared" si="457"/>
        <v>-130.410076942322</v>
      </c>
      <c r="AS507" t="str">
        <f t="shared" si="433"/>
        <v>-0,000338461538461538</v>
      </c>
      <c r="AT507" t="str">
        <f t="shared" si="434"/>
        <v>0,853791658081644i</v>
      </c>
      <c r="AU507">
        <f t="shared" si="458"/>
        <v>0.853791658081644</v>
      </c>
      <c r="AV507">
        <f t="shared" si="459"/>
        <v>1.5707963267949</v>
      </c>
      <c r="AW507" t="str">
        <f t="shared" si="435"/>
        <v>1+138,567225382799i</v>
      </c>
      <c r="AX507">
        <f t="shared" si="460"/>
        <v>138.570833692691</v>
      </c>
      <c r="AY507">
        <f t="shared" si="461"/>
        <v>1.56357973833063</v>
      </c>
      <c r="AZ507" t="str">
        <f t="shared" si="436"/>
        <v>1+1209,5715105296i</v>
      </c>
      <c r="BA507">
        <f t="shared" si="462"/>
        <v>1209.57192389905</v>
      </c>
      <c r="BB507">
        <f t="shared" si="463"/>
        <v>1.56996958793451</v>
      </c>
      <c r="BC507" s="30" t="str">
        <f t="shared" si="464"/>
        <v>-0,0000221108259377329+0,0034602574986763i</v>
      </c>
      <c r="BD507" s="32">
        <f t="shared" si="465"/>
        <v>-49.217654306126</v>
      </c>
      <c r="BE507" s="31">
        <f t="shared" si="466"/>
        <v>90.366111414026</v>
      </c>
      <c r="BF507" s="30" t="str">
        <f t="shared" si="467"/>
        <v>-0,000767197450481311-0,000127177300010774i</v>
      </c>
      <c r="BG507" s="68">
        <f t="shared" si="468"/>
        <v>-62.1841263744684</v>
      </c>
      <c r="BH507" s="31">
        <f t="shared" si="469"/>
        <v>-170.587745981772</v>
      </c>
      <c r="BI507" s="30" t="str">
        <f t="shared" si="476"/>
        <v>0,00334454309493516-0,00281078108923444i</v>
      </c>
      <c r="BJ507" s="68">
        <f t="shared" si="470"/>
        <v>-47.1927463978474</v>
      </c>
      <c r="BK507" s="31">
        <f t="shared" si="477"/>
        <v>-40.0439655282963</v>
      </c>
      <c r="BL507" s="32">
        <f t="shared" si="471"/>
        <v>-62.1841263744684</v>
      </c>
      <c r="BM507" s="31">
        <f t="shared" si="472"/>
        <v>-170.587745981772</v>
      </c>
      <c r="BO507">
        <f t="shared" si="473"/>
        <v>0</v>
      </c>
      <c r="BP507">
        <f t="shared" si="474"/>
        <v>0</v>
      </c>
    </row>
    <row r="508" spans="14:68">
      <c r="N508" s="7">
        <v>90</v>
      </c>
      <c r="O508" s="18">
        <f t="shared" si="475"/>
        <v>794328.234724283</v>
      </c>
      <c r="P508" s="86" t="str">
        <f t="shared" si="425"/>
        <v>15</v>
      </c>
      <c r="Q508" s="4" t="str">
        <f t="shared" si="426"/>
        <v>1+1455,68251893678i</v>
      </c>
      <c r="R508" s="4">
        <f t="shared" si="437"/>
        <v>1455.68286241823</v>
      </c>
      <c r="S508" s="4">
        <f t="shared" si="438"/>
        <v>1.57010936392375</v>
      </c>
      <c r="T508" s="4" t="str">
        <f t="shared" si="427"/>
        <v>1+0,998182298699504i</v>
      </c>
      <c r="U508" s="4">
        <f t="shared" si="439"/>
        <v>1.41292883806547</v>
      </c>
      <c r="V508" s="4">
        <f t="shared" si="440"/>
        <v>0.784488486237217</v>
      </c>
      <c r="W508" t="str">
        <f t="shared" si="428"/>
        <v>1-87,3409511362067i</v>
      </c>
      <c r="X508" s="4">
        <f t="shared" si="441"/>
        <v>87.3466756401023</v>
      </c>
      <c r="Y508" s="4">
        <f t="shared" si="442"/>
        <v>-1.55934744406229</v>
      </c>
      <c r="Z508" t="str">
        <f t="shared" si="429"/>
        <v>-3,4868077829703+4,63441781539054i</v>
      </c>
      <c r="AA508" s="4">
        <f t="shared" si="443"/>
        <v>5.79962559162154</v>
      </c>
      <c r="AB508" s="4">
        <f t="shared" si="444"/>
        <v>2.21581400598994</v>
      </c>
      <c r="AC508" s="67" t="str">
        <f t="shared" si="445"/>
        <v>-0,0331165056807991+0,216760890855399i</v>
      </c>
      <c r="AD508" s="68">
        <f t="shared" si="446"/>
        <v>-13.1801759553924</v>
      </c>
      <c r="AE508" s="31">
        <f t="shared" si="447"/>
        <v>98.686421342718</v>
      </c>
      <c r="AF508" s="32" t="str">
        <f t="shared" si="448"/>
        <v>75,4669735059805</v>
      </c>
      <c r="AG508" s="32" t="str">
        <f t="shared" si="430"/>
        <v>1+935,795905030785i</v>
      </c>
      <c r="AH508" s="32">
        <f t="shared" si="449"/>
        <v>935.796439335172</v>
      </c>
      <c r="AI508" s="32">
        <f t="shared" si="450"/>
        <v>1.56972771812287</v>
      </c>
      <c r="AJ508" s="32" t="str">
        <f t="shared" si="431"/>
        <v>1+0,998182298699504i</v>
      </c>
      <c r="AK508" s="32">
        <f t="shared" si="451"/>
        <v>1.41292883806547</v>
      </c>
      <c r="AL508" s="32">
        <f t="shared" si="452"/>
        <v>0.784488486237217</v>
      </c>
      <c r="AM508" s="32" t="str">
        <f t="shared" si="432"/>
        <v>1-11,1600173691455i</v>
      </c>
      <c r="AN508" s="32">
        <f t="shared" si="453"/>
        <v>11.2047305937996</v>
      </c>
      <c r="AO508" s="32">
        <f t="shared" si="454"/>
        <v>-1.4814294020452</v>
      </c>
      <c r="AP508" s="30" t="str">
        <f t="shared" si="455"/>
        <v>-0,818450961762151-0,979879547963222i</v>
      </c>
      <c r="AQ508" s="32">
        <f t="shared" si="456"/>
        <v>2.12194506520972</v>
      </c>
      <c r="AR508" s="31">
        <f t="shared" si="457"/>
        <v>-129.870546278922</v>
      </c>
      <c r="AS508" t="str">
        <f t="shared" si="433"/>
        <v>-0,000338461538461538</v>
      </c>
      <c r="AT508" t="str">
        <f t="shared" si="434"/>
        <v>0,873679020582714i</v>
      </c>
      <c r="AU508">
        <f t="shared" si="458"/>
        <v>0.873679020582714</v>
      </c>
      <c r="AV508">
        <f t="shared" si="459"/>
        <v>1.5707963267949</v>
      </c>
      <c r="AW508" t="str">
        <f t="shared" si="435"/>
        <v>1+141,794870694006i</v>
      </c>
      <c r="AX508">
        <f t="shared" si="460"/>
        <v>141.798396870803</v>
      </c>
      <c r="AY508">
        <f t="shared" si="461"/>
        <v>1.56374400242925</v>
      </c>
      <c r="AZ508" t="str">
        <f t="shared" si="436"/>
        <v>1+1237,74605038738i</v>
      </c>
      <c r="BA508">
        <f t="shared" si="462"/>
        <v>1237.7464543474</v>
      </c>
      <c r="BB508">
        <f t="shared" si="463"/>
        <v>1.56998840680023</v>
      </c>
      <c r="BC508" s="30" t="str">
        <f t="shared" si="464"/>
        <v>-0,0000211157243346421+0,00338149943969354i</v>
      </c>
      <c r="BD508" s="32">
        <f t="shared" si="465"/>
        <v>-49.4176442602544</v>
      </c>
      <c r="BE508" s="31">
        <f t="shared" si="466"/>
        <v>90.3577780160303</v>
      </c>
      <c r="BF508" s="30" t="str">
        <f t="shared" si="467"/>
        <v>-0,000732277551970122-0,000116560508622064i</v>
      </c>
      <c r="BG508" s="68">
        <f t="shared" si="468"/>
        <v>-62.5978202156467</v>
      </c>
      <c r="BH508" s="31">
        <f t="shared" si="469"/>
        <v>-170.955800641252</v>
      </c>
      <c r="BI508" s="30" t="str">
        <f t="shared" si="476"/>
        <v>0,00333074432729479-0,00274690060219941i</v>
      </c>
      <c r="BJ508" s="68">
        <f t="shared" si="470"/>
        <v>-47.2956991950446</v>
      </c>
      <c r="BK508" s="31">
        <f t="shared" si="477"/>
        <v>-39.5127682628915</v>
      </c>
      <c r="BL508" s="32">
        <f t="shared" si="471"/>
        <v>-62.5978202156467</v>
      </c>
      <c r="BM508" s="31">
        <f t="shared" si="472"/>
        <v>-170.955800641252</v>
      </c>
      <c r="BO508">
        <f t="shared" si="473"/>
        <v>0</v>
      </c>
      <c r="BP508">
        <f t="shared" si="474"/>
        <v>0</v>
      </c>
    </row>
    <row r="509" spans="14:68">
      <c r="N509" s="7">
        <v>91</v>
      </c>
      <c r="O509" s="18">
        <f t="shared" si="475"/>
        <v>812830.516164101</v>
      </c>
      <c r="P509" s="86" t="str">
        <f t="shared" si="425"/>
        <v>15</v>
      </c>
      <c r="Q509" s="4" t="str">
        <f t="shared" si="426"/>
        <v>1+1489,5897206136i</v>
      </c>
      <c r="R509" s="4">
        <f t="shared" si="437"/>
        <v>1489.59005627646</v>
      </c>
      <c r="S509" s="4">
        <f t="shared" si="438"/>
        <v>1.57012500110304</v>
      </c>
      <c r="T509" s="4" t="str">
        <f t="shared" si="427"/>
        <v>1+1,0214329512779i</v>
      </c>
      <c r="U509" s="4">
        <f t="shared" si="439"/>
        <v>1.4294492904459</v>
      </c>
      <c r="V509" s="4">
        <f t="shared" si="440"/>
        <v>0.796000616548945</v>
      </c>
      <c r="W509" t="str">
        <f t="shared" si="428"/>
        <v>1-89,375383236816i</v>
      </c>
      <c r="X509" s="4">
        <f t="shared" si="441"/>
        <v>89.3809774433449</v>
      </c>
      <c r="Y509" s="4">
        <f t="shared" si="442"/>
        <v>-1.55960803044924</v>
      </c>
      <c r="Z509" t="str">
        <f t="shared" si="429"/>
        <v>-3,69826451916517+4,74236727379022i</v>
      </c>
      <c r="AA509" s="4">
        <f t="shared" si="443"/>
        <v>6.01391784224165</v>
      </c>
      <c r="AB509" s="4">
        <f t="shared" si="444"/>
        <v>2.23312009630731</v>
      </c>
      <c r="AC509" s="67" t="str">
        <f t="shared" si="445"/>
        <v>-0,0310254782660806+0,211672852290087i</v>
      </c>
      <c r="AD509" s="68">
        <f t="shared" si="446"/>
        <v>-13.3943828635364</v>
      </c>
      <c r="AE509" s="31">
        <f t="shared" si="447"/>
        <v>98.3386254431789</v>
      </c>
      <c r="AF509" s="32" t="str">
        <f t="shared" si="448"/>
        <v>75,4669735059805</v>
      </c>
      <c r="AG509" s="32" t="str">
        <f t="shared" si="430"/>
        <v>1+957,593391823028i</v>
      </c>
      <c r="AH509" s="32">
        <f t="shared" si="449"/>
        <v>957.593913965169</v>
      </c>
      <c r="AI509" s="32">
        <f t="shared" si="450"/>
        <v>1.56975204260807</v>
      </c>
      <c r="AJ509" s="32" t="str">
        <f t="shared" si="431"/>
        <v>1+1,0214329512779i</v>
      </c>
      <c r="AK509" s="32">
        <f t="shared" si="451"/>
        <v>1.4294492904459</v>
      </c>
      <c r="AL509" s="32">
        <f t="shared" si="452"/>
        <v>0.796000616548945</v>
      </c>
      <c r="AM509" s="32" t="str">
        <f t="shared" si="432"/>
        <v>1-11,419967567578i</v>
      </c>
      <c r="AN509" s="32">
        <f t="shared" si="453"/>
        <v>11.4636669196437</v>
      </c>
      <c r="AO509" s="32">
        <f t="shared" si="454"/>
        <v>-1.4834531921676</v>
      </c>
      <c r="AP509" s="30" t="str">
        <f t="shared" si="455"/>
        <v>-0,818454882455464-0,998949444695525i</v>
      </c>
      <c r="AQ509" s="32">
        <f t="shared" si="456"/>
        <v>2.22135737584708</v>
      </c>
      <c r="AR509" s="31">
        <f t="shared" si="457"/>
        <v>-129.32829812183</v>
      </c>
      <c r="AS509" t="str">
        <f t="shared" si="433"/>
        <v>-0,000338461538461538</v>
      </c>
      <c r="AT509" t="str">
        <f t="shared" si="434"/>
        <v>0,894029619265004i</v>
      </c>
      <c r="AU509">
        <f t="shared" si="458"/>
        <v>0.894029619265004</v>
      </c>
      <c r="AV509">
        <f t="shared" si="459"/>
        <v>1.5707963267949</v>
      </c>
      <c r="AW509" t="str">
        <f t="shared" si="435"/>
        <v>1+145,097697522532i</v>
      </c>
      <c r="AX509">
        <f t="shared" si="460"/>
        <v>145.101143435675</v>
      </c>
      <c r="AY509">
        <f t="shared" si="461"/>
        <v>1.56390452778825</v>
      </c>
      <c r="AZ509" t="str">
        <f t="shared" si="436"/>
        <v>1+1266,57685958459i</v>
      </c>
      <c r="BA509">
        <f t="shared" si="462"/>
        <v>1266.57725434936</v>
      </c>
      <c r="BB509">
        <f t="shared" si="463"/>
        <v>1.57000679729683</v>
      </c>
      <c r="BC509" s="30" t="str">
        <f t="shared" si="464"/>
        <v>-0,0000201654053266858+0,00330453366462105i</v>
      </c>
      <c r="BD509" s="32">
        <f t="shared" si="465"/>
        <v>-49.6176346664991</v>
      </c>
      <c r="BE509" s="31">
        <f t="shared" si="466"/>
        <v>90.3496342882926</v>
      </c>
      <c r="BF509" s="30" t="str">
        <f t="shared" si="467"/>
        <v>-0,000698854424934262-0,000106793206254317i</v>
      </c>
      <c r="BG509" s="68">
        <f t="shared" si="468"/>
        <v>-63.0120175300354</v>
      </c>
      <c r="BH509" s="31">
        <f t="shared" si="469"/>
        <v>-171.311740268528</v>
      </c>
      <c r="BI509" s="30" t="str">
        <f t="shared" si="476"/>
        <v>0,00331756654369719-0,00268446749159439i</v>
      </c>
      <c r="BJ509" s="68">
        <f t="shared" si="470"/>
        <v>-47.396277290652</v>
      </c>
      <c r="BK509" s="31">
        <f t="shared" si="477"/>
        <v>-38.9786638335371</v>
      </c>
      <c r="BL509" s="32">
        <f t="shared" si="471"/>
        <v>-63.0120175300354</v>
      </c>
      <c r="BM509" s="31">
        <f t="shared" si="472"/>
        <v>-171.311740268528</v>
      </c>
      <c r="BO509">
        <f t="shared" si="473"/>
        <v>0</v>
      </c>
      <c r="BP509">
        <f t="shared" si="474"/>
        <v>0</v>
      </c>
    </row>
    <row r="510" spans="14:68">
      <c r="N510" s="7">
        <v>92</v>
      </c>
      <c r="O510" s="18">
        <f t="shared" si="475"/>
        <v>831763.771102671</v>
      </c>
      <c r="P510" s="86" t="str">
        <f t="shared" si="425"/>
        <v>15</v>
      </c>
      <c r="Q510" s="4" t="str">
        <f t="shared" si="426"/>
        <v>1+1524,28672247734i</v>
      </c>
      <c r="R510" s="4">
        <f t="shared" si="437"/>
        <v>1524.28705049958</v>
      </c>
      <c r="S510" s="4">
        <f t="shared" si="438"/>
        <v>1.57014028233699</v>
      </c>
      <c r="T510" s="4" t="str">
        <f t="shared" si="427"/>
        <v>1+1,04522518112732i</v>
      </c>
      <c r="U510" s="4">
        <f t="shared" si="439"/>
        <v>1.44654612068286</v>
      </c>
      <c r="V510" s="4">
        <f t="shared" si="440"/>
        <v>0.80750712847347</v>
      </c>
      <c r="W510" t="str">
        <f t="shared" si="428"/>
        <v>1-91,4572033486404i</v>
      </c>
      <c r="X510" s="4">
        <f t="shared" si="441"/>
        <v>91.4626702231821</v>
      </c>
      <c r="Y510" s="4">
        <f t="shared" si="442"/>
        <v>-1.55986268663417</v>
      </c>
      <c r="Z510" t="str">
        <f t="shared" si="429"/>
        <v>-3,91968690431247+4,85283119809111i</v>
      </c>
      <c r="AA510" s="4">
        <f t="shared" si="443"/>
        <v>6.23810196013219</v>
      </c>
      <c r="AB510" s="4">
        <f t="shared" si="444"/>
        <v>2.25022166458507</v>
      </c>
      <c r="AC510" s="67" t="str">
        <f t="shared" si="445"/>
        <v>-0,0290564764062702+0,206679885080373i</v>
      </c>
      <c r="AD510" s="68">
        <f t="shared" si="446"/>
        <v>-13.6090361740624</v>
      </c>
      <c r="AE510" s="31">
        <f t="shared" si="447"/>
        <v>98.0025860531656</v>
      </c>
      <c r="AF510" s="32" t="str">
        <f t="shared" si="448"/>
        <v>75,4669735059805</v>
      </c>
      <c r="AG510" s="32" t="str">
        <f t="shared" si="430"/>
        <v>1+979,898607306861i</v>
      </c>
      <c r="AH510" s="32">
        <f t="shared" si="449"/>
        <v>979.899117563602</v>
      </c>
      <c r="AI510" s="32">
        <f t="shared" si="450"/>
        <v>1.56977581340158</v>
      </c>
      <c r="AJ510" s="32" t="str">
        <f t="shared" si="431"/>
        <v>1+1,04522518112732i</v>
      </c>
      <c r="AK510" s="32">
        <f t="shared" si="451"/>
        <v>1.44654612068286</v>
      </c>
      <c r="AL510" s="32">
        <f t="shared" si="452"/>
        <v>0.80750712847347</v>
      </c>
      <c r="AM510" s="32" t="str">
        <f t="shared" si="432"/>
        <v>1-11,6859727839761i</v>
      </c>
      <c r="AN510" s="32">
        <f t="shared" si="453"/>
        <v>11.728681081342</v>
      </c>
      <c r="AO510" s="32">
        <f t="shared" si="454"/>
        <v>-1.48543160855285</v>
      </c>
      <c r="AP510" s="30" t="str">
        <f t="shared" si="455"/>
        <v>-0,818458626688897-1,01854899727742i</v>
      </c>
      <c r="AQ510" s="32">
        <f t="shared" si="456"/>
        <v>2.32314058724631</v>
      </c>
      <c r="AR510" s="31">
        <f t="shared" si="457"/>
        <v>-128.783740426776</v>
      </c>
      <c r="AS510" t="str">
        <f t="shared" si="433"/>
        <v>-0,000338461538461538</v>
      </c>
      <c r="AT510" t="str">
        <f t="shared" si="434"/>
        <v>0,914854244285307i</v>
      </c>
      <c r="AU510">
        <f t="shared" si="458"/>
        <v>0.914854244285307</v>
      </c>
      <c r="AV510">
        <f t="shared" si="459"/>
        <v>1.5707963267949</v>
      </c>
      <c r="AW510" t="str">
        <f t="shared" si="435"/>
        <v>1+148,477457070879i</v>
      </c>
      <c r="AX510">
        <f t="shared" si="460"/>
        <v>148.480824547262</v>
      </c>
      <c r="AY510">
        <f t="shared" si="461"/>
        <v>1.56406139948719</v>
      </c>
      <c r="AZ510" t="str">
        <f t="shared" si="436"/>
        <v>1+1296,07922459787i</v>
      </c>
      <c r="BA510">
        <f t="shared" si="462"/>
        <v>1296.0796103767</v>
      </c>
      <c r="BB510">
        <f t="shared" si="463"/>
        <v>1.57002476917513</v>
      </c>
      <c r="BC510" s="30" t="str">
        <f t="shared" si="464"/>
        <v>-0,0000192578537482023+0,00322931940735554i</v>
      </c>
      <c r="BD510" s="32">
        <f t="shared" si="465"/>
        <v>-49.8176255045135</v>
      </c>
      <c r="BE510" s="31">
        <f t="shared" si="466"/>
        <v>90.341675914795</v>
      </c>
      <c r="BF510" s="30" t="str">
        <f t="shared" si="467"/>
        <v>-0,000666875798626991-0,0000978128541677098i</v>
      </c>
      <c r="BG510" s="68">
        <f t="shared" si="468"/>
        <v>-63.426661678576</v>
      </c>
      <c r="BH510" s="31">
        <f t="shared" si="469"/>
        <v>-171.655738032039</v>
      </c>
      <c r="BI510" s="30" t="str">
        <f t="shared" si="476"/>
        <v>0,00330498180078223-0,00262344925965907i</v>
      </c>
      <c r="BJ510" s="68">
        <f t="shared" si="470"/>
        <v>-47.4944849172672</v>
      </c>
      <c r="BK510" s="31">
        <f t="shared" si="477"/>
        <v>-38.4420645119807</v>
      </c>
      <c r="BL510" s="32">
        <f t="shared" si="471"/>
        <v>-63.426661678576</v>
      </c>
      <c r="BM510" s="31">
        <f t="shared" si="472"/>
        <v>-171.655738032039</v>
      </c>
      <c r="BO510">
        <f t="shared" si="473"/>
        <v>0</v>
      </c>
      <c r="BP510">
        <f t="shared" si="474"/>
        <v>0</v>
      </c>
    </row>
    <row r="511" spans="14:68">
      <c r="N511" s="7">
        <v>93</v>
      </c>
      <c r="O511" s="18">
        <f t="shared" si="475"/>
        <v>851138.038202377</v>
      </c>
      <c r="P511" s="86" t="str">
        <f t="shared" si="425"/>
        <v>15</v>
      </c>
      <c r="Q511" s="4" t="str">
        <f t="shared" si="426"/>
        <v>1+1559,79192133766i</v>
      </c>
      <c r="R511" s="4">
        <f t="shared" si="437"/>
        <v>1559.7922418932</v>
      </c>
      <c r="S511" s="4">
        <f t="shared" si="438"/>
        <v>1.57015521572789</v>
      </c>
      <c r="T511" s="4" t="str">
        <f t="shared" si="427"/>
        <v>1+1,06957160320297i</v>
      </c>
      <c r="U511" s="4">
        <f t="shared" si="439"/>
        <v>1.46423475384863</v>
      </c>
      <c r="V511" s="4">
        <f t="shared" si="440"/>
        <v>0.819001936302905</v>
      </c>
      <c r="W511" t="str">
        <f t="shared" si="428"/>
        <v>1-93,5875152802596i</v>
      </c>
      <c r="X511" s="4">
        <f t="shared" si="441"/>
        <v>93.5928577207301</v>
      </c>
      <c r="Y511" s="4">
        <f t="shared" si="442"/>
        <v>-1.56011154750698</v>
      </c>
      <c r="Z511" t="str">
        <f t="shared" si="429"/>
        <v>-4,15154460497774+4,96586815772804i</v>
      </c>
      <c r="AA511" s="4">
        <f t="shared" si="443"/>
        <v>6.47264777097109</v>
      </c>
      <c r="AB511" s="4">
        <f t="shared" si="444"/>
        <v>2.26711565420883</v>
      </c>
      <c r="AC511" s="67" t="str">
        <f t="shared" si="445"/>
        <v>-0,027203679448234+0,201783025422609i</v>
      </c>
      <c r="AD511" s="68">
        <f t="shared" si="446"/>
        <v>-13.8240810467102</v>
      </c>
      <c r="AE511" s="31">
        <f t="shared" si="447"/>
        <v>97.678121425557</v>
      </c>
      <c r="AF511" s="32" t="str">
        <f t="shared" si="448"/>
        <v>75,4669735059805</v>
      </c>
      <c r="AG511" s="32" t="str">
        <f t="shared" si="430"/>
        <v>1+1002,72337800278i</v>
      </c>
      <c r="AH511" s="32">
        <f t="shared" si="449"/>
        <v>1002.72387664467</v>
      </c>
      <c r="AI511" s="32">
        <f t="shared" si="450"/>
        <v>1.56979904310688</v>
      </c>
      <c r="AJ511" s="32" t="str">
        <f t="shared" si="431"/>
        <v>1+1,06957160320297i</v>
      </c>
      <c r="AK511" s="32">
        <f t="shared" si="451"/>
        <v>1.46423475384863</v>
      </c>
      <c r="AL511" s="32">
        <f t="shared" si="452"/>
        <v>0.819001936302905</v>
      </c>
      <c r="AM511" s="32" t="str">
        <f t="shared" si="432"/>
        <v>1-11,9581740578263i</v>
      </c>
      <c r="AN511" s="32">
        <f t="shared" si="453"/>
        <v>11.999913616242</v>
      </c>
      <c r="AO511" s="32">
        <f t="shared" si="454"/>
        <v>-1.48736563819887</v>
      </c>
      <c r="AP511" s="30" t="str">
        <f t="shared" si="455"/>
        <v>-0,818462202404402-1,03868859767573i</v>
      </c>
      <c r="AQ511" s="32">
        <f t="shared" si="456"/>
        <v>2.42728815179581</v>
      </c>
      <c r="AR511" s="31">
        <f t="shared" si="457"/>
        <v>-128.237279152078</v>
      </c>
      <c r="AS511" t="str">
        <f t="shared" si="433"/>
        <v>-0,000338461538461538</v>
      </c>
      <c r="AT511" t="str">
        <f t="shared" si="434"/>
        <v>0,93616393713546i</v>
      </c>
      <c r="AU511">
        <f t="shared" si="458"/>
        <v>0.93616393713546</v>
      </c>
      <c r="AV511">
        <f t="shared" si="459"/>
        <v>1.5707963267949</v>
      </c>
      <c r="AW511" t="str">
        <f t="shared" si="435"/>
        <v>1+151,935941332297i</v>
      </c>
      <c r="AX511">
        <f t="shared" si="460"/>
        <v>151.939232157238</v>
      </c>
      <c r="AY511">
        <f t="shared" si="461"/>
        <v>1.56421470067061</v>
      </c>
      <c r="AZ511" t="str">
        <f t="shared" si="436"/>
        <v>1+1326,26878797168i</v>
      </c>
      <c r="BA511">
        <f t="shared" si="462"/>
        <v>1326.26916496911</v>
      </c>
      <c r="BB511">
        <f t="shared" si="463"/>
        <v>1.57004233196401</v>
      </c>
      <c r="BC511" s="30" t="str">
        <f t="shared" si="464"/>
        <v>-0,0000183911450972168+0,00315581682765747i</v>
      </c>
      <c r="BD511" s="32">
        <f t="shared" si="465"/>
        <v>-50.0176167548668</v>
      </c>
      <c r="BE511" s="31">
        <f t="shared" si="466"/>
        <v>90.3338986776702</v>
      </c>
      <c r="BF511" s="30" t="str">
        <f t="shared" si="467"/>
        <v>-0,000636289960348394-0,0000895608502756391i</v>
      </c>
      <c r="BG511" s="68">
        <f t="shared" si="468"/>
        <v>-63.841697801577</v>
      </c>
      <c r="BH511" s="31">
        <f t="shared" si="469"/>
        <v>-171.987979896773</v>
      </c>
      <c r="BI511" s="30" t="str">
        <f t="shared" si="476"/>
        <v>0,00329296341236202-0,00256381411843873i</v>
      </c>
      <c r="BJ511" s="68">
        <f t="shared" si="470"/>
        <v>-47.590328603071</v>
      </c>
      <c r="BK511" s="31">
        <f t="shared" si="477"/>
        <v>-37.9033804744078</v>
      </c>
      <c r="BL511" s="32">
        <f t="shared" si="471"/>
        <v>-63.841697801577</v>
      </c>
      <c r="BM511" s="31">
        <f t="shared" si="472"/>
        <v>-171.987979896773</v>
      </c>
      <c r="BO511">
        <f t="shared" si="473"/>
        <v>0</v>
      </c>
      <c r="BP511">
        <f t="shared" si="474"/>
        <v>0</v>
      </c>
    </row>
    <row r="512" spans="14:68">
      <c r="N512" s="7">
        <v>94</v>
      </c>
      <c r="O512" s="18">
        <f t="shared" si="475"/>
        <v>870963.589956081</v>
      </c>
      <c r="P512" s="86" t="str">
        <f t="shared" si="425"/>
        <v>15</v>
      </c>
      <c r="Q512" s="4" t="str">
        <f t="shared" si="426"/>
        <v>1+1596,12414252096i</v>
      </c>
      <c r="R512" s="4">
        <f t="shared" si="437"/>
        <v>1596.12445577977</v>
      </c>
      <c r="S512" s="4">
        <f t="shared" si="438"/>
        <v>1.57016980919359</v>
      </c>
      <c r="T512" s="4" t="str">
        <f t="shared" si="427"/>
        <v>1+1,09448512630009i</v>
      </c>
      <c r="U512" s="4">
        <f t="shared" si="439"/>
        <v>1.48253084004756</v>
      </c>
      <c r="V512" s="4">
        <f t="shared" si="440"/>
        <v>0.830478985257155</v>
      </c>
      <c r="W512" t="str">
        <f t="shared" si="428"/>
        <v>1-95,7674485512576i</v>
      </c>
      <c r="X512" s="4">
        <f t="shared" si="441"/>
        <v>95.7726693896425</v>
      </c>
      <c r="Y512" s="4">
        <f t="shared" si="442"/>
        <v>-1.56035474489361</v>
      </c>
      <c r="Z512" t="str">
        <f t="shared" si="429"/>
        <v>-4,39432942242977+5,08153808639324i</v>
      </c>
      <c r="AA512" s="4">
        <f t="shared" si="443"/>
        <v>6.71804736484472</v>
      </c>
      <c r="AB512" s="4">
        <f t="shared" si="444"/>
        <v>2.28379925313569</v>
      </c>
      <c r="AC512" s="67" t="str">
        <f t="shared" si="445"/>
        <v>-0,0254614095243969+0,196983021674292i</v>
      </c>
      <c r="AD512" s="68">
        <f t="shared" si="446"/>
        <v>-14.0394645108324</v>
      </c>
      <c r="AE512" s="31">
        <f t="shared" si="447"/>
        <v>97.3650377584669</v>
      </c>
      <c r="AF512" s="32" t="str">
        <f t="shared" si="448"/>
        <v>75,4669735059805</v>
      </c>
      <c r="AG512" s="32" t="str">
        <f t="shared" si="430"/>
        <v>1+1026,07980590633i</v>
      </c>
      <c r="AH512" s="32">
        <f t="shared" si="449"/>
        <v>1026.08029319775</v>
      </c>
      <c r="AI512" s="32">
        <f t="shared" si="450"/>
        <v>1.56982174404057</v>
      </c>
      <c r="AJ512" s="32" t="str">
        <f t="shared" si="431"/>
        <v>1+1,09448512630009i</v>
      </c>
      <c r="AK512" s="32">
        <f t="shared" si="451"/>
        <v>1.48253084004756</v>
      </c>
      <c r="AL512" s="32">
        <f t="shared" si="452"/>
        <v>0.830478985257155</v>
      </c>
      <c r="AM512" s="32" t="str">
        <f t="shared" si="432"/>
        <v>1-12,2367157138472i</v>
      </c>
      <c r="AN512" s="32">
        <f t="shared" si="453"/>
        <v>12.2775083572163</v>
      </c>
      <c r="AO512" s="32">
        <f t="shared" si="454"/>
        <v>-1.48925624864816</v>
      </c>
      <c r="AP512" s="30" t="str">
        <f t="shared" si="455"/>
        <v>-0,818465617186518-1,05937892419611i</v>
      </c>
      <c r="AQ512" s="32">
        <f t="shared" si="456"/>
        <v>2.53379123589797</v>
      </c>
      <c r="AR512" s="31">
        <f t="shared" si="457"/>
        <v>-127.689317352874</v>
      </c>
      <c r="AS512" t="str">
        <f t="shared" si="433"/>
        <v>-0,000338461538461538</v>
      </c>
      <c r="AT512" t="str">
        <f t="shared" si="434"/>
        <v>0,957969996496677i</v>
      </c>
      <c r="AU512">
        <f t="shared" si="458"/>
        <v>0.957969996496677</v>
      </c>
      <c r="AV512">
        <f t="shared" si="459"/>
        <v>1.5707963267949</v>
      </c>
      <c r="AW512" t="str">
        <f t="shared" si="435"/>
        <v>1+155,47498404092i</v>
      </c>
      <c r="AX512">
        <f t="shared" si="460"/>
        <v>155.478199959108</v>
      </c>
      <c r="AY512">
        <f t="shared" si="461"/>
        <v>1.56436451259199</v>
      </c>
      <c r="AZ512" t="str">
        <f t="shared" si="436"/>
        <v>1+1357,16155661211i</v>
      </c>
      <c r="BA512">
        <f t="shared" si="462"/>
        <v>1357.16192502804</v>
      </c>
      <c r="BB512">
        <f t="shared" si="463"/>
        <v>1.57005949497546</v>
      </c>
      <c r="BC512" s="30" t="str">
        <f t="shared" si="464"/>
        <v>-0,0000175634414578684+0,00308398699021499i</v>
      </c>
      <c r="BD512" s="32">
        <f t="shared" si="465"/>
        <v>-50.2176083990022</v>
      </c>
      <c r="BE512" s="31">
        <f t="shared" si="466"/>
        <v>90.3262984549741</v>
      </c>
      <c r="BF512" s="30" t="str">
        <f t="shared" si="467"/>
        <v>-0,000607045886161137-0,0000819823554951465i</v>
      </c>
      <c r="BG512" s="68">
        <f t="shared" si="468"/>
        <v>-64.2570729098345</v>
      </c>
      <c r="BH512" s="31">
        <f t="shared" si="469"/>
        <v>-172.308663786559</v>
      </c>
      <c r="BI512" s="30" t="str">
        <f t="shared" si="476"/>
        <v>0,00328148589288149-0,00250553097562469i</v>
      </c>
      <c r="BJ512" s="68">
        <f t="shared" si="470"/>
        <v>-47.6838171631042</v>
      </c>
      <c r="BK512" s="31">
        <f t="shared" si="477"/>
        <v>-37.3630188978996</v>
      </c>
      <c r="BL512" s="32">
        <f t="shared" si="471"/>
        <v>-64.2570729098345</v>
      </c>
      <c r="BM512" s="31">
        <f t="shared" si="472"/>
        <v>-172.308663786559</v>
      </c>
      <c r="BO512">
        <f t="shared" si="473"/>
        <v>0</v>
      </c>
      <c r="BP512">
        <f t="shared" si="474"/>
        <v>0</v>
      </c>
    </row>
    <row r="513" spans="14:68">
      <c r="N513" s="7">
        <v>95</v>
      </c>
      <c r="O513" s="18">
        <f t="shared" si="475"/>
        <v>891250.938133747</v>
      </c>
      <c r="P513" s="86" t="str">
        <f t="shared" si="425"/>
        <v>15</v>
      </c>
      <c r="Q513" s="4" t="str">
        <f t="shared" si="426"/>
        <v>1+1633,30264985183i</v>
      </c>
      <c r="R513" s="4">
        <f t="shared" si="437"/>
        <v>1633.30295598</v>
      </c>
      <c r="S513" s="4">
        <f t="shared" si="438"/>
        <v>1.57018407047171</v>
      </c>
      <c r="T513" s="4" t="str">
        <f t="shared" si="427"/>
        <v>1+1,1199789598984i</v>
      </c>
      <c r="U513" s="4">
        <f t="shared" si="439"/>
        <v>1.50145025579108</v>
      </c>
      <c r="V513" s="4">
        <f t="shared" si="440"/>
        <v>0.841932267339457</v>
      </c>
      <c r="W513" t="str">
        <f t="shared" si="428"/>
        <v>1-97,9981589911097i</v>
      </c>
      <c r="X513" s="4">
        <f t="shared" si="441"/>
        <v>98.0032609949629</v>
      </c>
      <c r="Y513" s="4">
        <f t="shared" si="442"/>
        <v>-1.56059240762541</v>
      </c>
      <c r="Z513" t="str">
        <f t="shared" si="429"/>
        <v>-4,64855633581715+5,19990231381397i</v>
      </c>
      <c r="AA513" s="4">
        <f t="shared" si="443"/>
        <v>6.97481613237752</v>
      </c>
      <c r="AB513" s="4">
        <f t="shared" si="444"/>
        <v>2.30026989443325</v>
      </c>
      <c r="AC513" s="67" t="str">
        <f t="shared" si="445"/>
        <v>-0,0238241416731711+0,192280352800066i</v>
      </c>
      <c r="AD513" s="68">
        <f t="shared" si="446"/>
        <v>-14.2551355464601</v>
      </c>
      <c r="AE513" s="31">
        <f t="shared" si="447"/>
        <v>97.0631300686051</v>
      </c>
      <c r="AF513" s="32" t="str">
        <f t="shared" si="448"/>
        <v>75,4669735059805</v>
      </c>
      <c r="AG513" s="32" t="str">
        <f t="shared" si="430"/>
        <v>1+1049,98027490475i</v>
      </c>
      <c r="AH513" s="32">
        <f t="shared" si="449"/>
        <v>1049.98075110406</v>
      </c>
      <c r="AI513" s="32">
        <f t="shared" si="450"/>
        <v>1.5698439282389</v>
      </c>
      <c r="AJ513" s="32" t="str">
        <f t="shared" si="431"/>
        <v>1+1,1199789598984i</v>
      </c>
      <c r="AK513" s="32">
        <f t="shared" si="451"/>
        <v>1.50145025579108</v>
      </c>
      <c r="AL513" s="32">
        <f t="shared" si="452"/>
        <v>0.841932267339457</v>
      </c>
      <c r="AM513" s="32" t="str">
        <f t="shared" si="432"/>
        <v>1-12,5217454385116i</v>
      </c>
      <c r="AN513" s="32">
        <f t="shared" si="453"/>
        <v>12.5616125090247</v>
      </c>
      <c r="AO513" s="32">
        <f t="shared" si="454"/>
        <v>-1.49110438823481</v>
      </c>
      <c r="AP513" s="30" t="str">
        <f t="shared" si="455"/>
        <v>-0,818468878278397-1,08063094714498i</v>
      </c>
      <c r="AQ513" s="32">
        <f t="shared" si="456"/>
        <v>2.64263873904841</v>
      </c>
      <c r="AR513" s="31">
        <f t="shared" si="457"/>
        <v>-127.140254287187</v>
      </c>
      <c r="AS513" t="str">
        <f t="shared" si="433"/>
        <v>-0,000338461538461538</v>
      </c>
      <c r="AT513" t="str">
        <f t="shared" si="434"/>
        <v>0,980283984230269i</v>
      </c>
      <c r="AU513">
        <f t="shared" si="458"/>
        <v>0.980283984230269</v>
      </c>
      <c r="AV513">
        <f t="shared" si="459"/>
        <v>1.5707963267949</v>
      </c>
      <c r="AW513" t="str">
        <f t="shared" si="435"/>
        <v>1+159,096461644035i</v>
      </c>
      <c r="AX513">
        <f t="shared" si="460"/>
        <v>159.099604360451</v>
      </c>
      <c r="AY513">
        <f t="shared" si="461"/>
        <v>1.56451091465669</v>
      </c>
      <c r="AZ513" t="str">
        <f t="shared" si="436"/>
        <v>1+1388,77391027401i</v>
      </c>
      <c r="BA513">
        <f t="shared" si="462"/>
        <v>1388.77427030377</v>
      </c>
      <c r="BB513">
        <f t="shared" si="463"/>
        <v>1.57007626730949</v>
      </c>
      <c r="BC513" s="30" t="str">
        <f t="shared" si="464"/>
        <v>-0,0000167729876060989+0,00301379184417523i</v>
      </c>
      <c r="BD513" s="32">
        <f t="shared" si="465"/>
        <v>-50.417600419198</v>
      </c>
      <c r="BE513" s="31">
        <f t="shared" si="466"/>
        <v>90.3188712185077</v>
      </c>
      <c r="BF513" s="30" t="str">
        <f t="shared" si="467"/>
        <v>-0,000579093357030965-0,0000750261198434901i</v>
      </c>
      <c r="BG513" s="68">
        <f t="shared" si="468"/>
        <v>-64.6727359656581</v>
      </c>
      <c r="BH513" s="31">
        <f t="shared" si="469"/>
        <v>-172.617998712887</v>
      </c>
      <c r="BI513" s="30" t="str">
        <f t="shared" si="476"/>
        <v>0,00327052490342024-0,00244856942058345i</v>
      </c>
      <c r="BJ513" s="68">
        <f t="shared" si="470"/>
        <v>-47.7749616801496</v>
      </c>
      <c r="BK513" s="31">
        <f t="shared" si="477"/>
        <v>-36.8213830686791</v>
      </c>
      <c r="BL513" s="32">
        <f t="shared" si="471"/>
        <v>-64.6727359656581</v>
      </c>
      <c r="BM513" s="31">
        <f t="shared" si="472"/>
        <v>-172.617998712887</v>
      </c>
      <c r="BO513">
        <f t="shared" si="473"/>
        <v>0</v>
      </c>
      <c r="BP513">
        <f t="shared" si="474"/>
        <v>0</v>
      </c>
    </row>
    <row r="514" spans="14:68">
      <c r="N514" s="7">
        <v>96</v>
      </c>
      <c r="O514" s="18">
        <f t="shared" si="475"/>
        <v>912010.839355911</v>
      </c>
      <c r="P514" s="86" t="str">
        <f t="shared" si="425"/>
        <v>15</v>
      </c>
      <c r="Q514" s="4" t="str">
        <f t="shared" si="426"/>
        <v>1+1671,34715586696i</v>
      </c>
      <c r="R514" s="4">
        <f t="shared" si="437"/>
        <v>1671.3474550268</v>
      </c>
      <c r="S514" s="4">
        <f t="shared" si="438"/>
        <v>1.57019800712375</v>
      </c>
      <c r="T514" s="4" t="str">
        <f t="shared" si="427"/>
        <v>1+1,14606662116592i</v>
      </c>
      <c r="U514" s="4">
        <f t="shared" si="439"/>
        <v>1.52100910587369</v>
      </c>
      <c r="V514" s="4">
        <f t="shared" si="440"/>
        <v>0.853355836892254</v>
      </c>
      <c r="W514" t="str">
        <f t="shared" si="428"/>
        <v>1-100,280829352018i</v>
      </c>
      <c r="X514" s="4">
        <f t="shared" si="441"/>
        <v>100.285815225926</v>
      </c>
      <c r="Y514" s="4">
        <f t="shared" si="442"/>
        <v>-1.56082466160685</v>
      </c>
      <c r="Z514" t="str">
        <f t="shared" si="429"/>
        <v>-4,91476459450792+5,32102359827031i</v>
      </c>
      <c r="AA514" s="4">
        <f t="shared" si="443"/>
        <v>7.24349384984747</v>
      </c>
      <c r="AB514" s="4">
        <f t="shared" si="444"/>
        <v>2.31652525604576</v>
      </c>
      <c r="AC514" s="67" t="str">
        <f t="shared" si="445"/>
        <v>-0,0222865123676678+0,187675246736545i</v>
      </c>
      <c r="AD514" s="68">
        <f t="shared" si="446"/>
        <v>-14.4710451549183</v>
      </c>
      <c r="AE514" s="31">
        <f t="shared" si="447"/>
        <v>96.7721830918452</v>
      </c>
      <c r="AF514" s="32" t="str">
        <f t="shared" si="448"/>
        <v>75,4669735059805</v>
      </c>
      <c r="AG514" s="32" t="str">
        <f t="shared" si="430"/>
        <v>1+1074,43745734305i</v>
      </c>
      <c r="AH514" s="32">
        <f t="shared" si="449"/>
        <v>1074.43792270275</v>
      </c>
      <c r="AI514" s="32">
        <f t="shared" si="450"/>
        <v>1.56986560746413</v>
      </c>
      <c r="AJ514" s="32" t="str">
        <f t="shared" si="431"/>
        <v>1+1,14606662116592i</v>
      </c>
      <c r="AK514" s="32">
        <f t="shared" si="451"/>
        <v>1.52100910587369</v>
      </c>
      <c r="AL514" s="32">
        <f t="shared" si="452"/>
        <v>0.853355836892254</v>
      </c>
      <c r="AM514" s="32" t="str">
        <f t="shared" si="432"/>
        <v>1-12,8134143583524i</v>
      </c>
      <c r="AN514" s="32">
        <f t="shared" si="453"/>
        <v>12.8523767264593</v>
      </c>
      <c r="AO514" s="32">
        <f t="shared" si="454"/>
        <v>-1.4929109863384</v>
      </c>
      <c r="AP514" s="30" t="str">
        <f t="shared" si="455"/>
        <v>-0,81847199259723-1,10245593464623i</v>
      </c>
      <c r="AQ514" s="32">
        <f t="shared" si="456"/>
        <v>2.75381732308416</v>
      </c>
      <c r="AR514" s="31">
        <f t="shared" si="457"/>
        <v>-126.590484539558</v>
      </c>
      <c r="AS514" t="str">
        <f t="shared" si="433"/>
        <v>-0,000338461538461538</v>
      </c>
      <c r="AT514" t="str">
        <f t="shared" si="434"/>
        <v>1,00311773150789i</v>
      </c>
      <c r="AU514">
        <f t="shared" si="458"/>
        <v>1.00311773150789</v>
      </c>
      <c r="AV514">
        <f t="shared" si="459"/>
        <v>1.5707963267949</v>
      </c>
      <c r="AW514" t="str">
        <f t="shared" si="435"/>
        <v>1+162,802294297005i</v>
      </c>
      <c r="AX514">
        <f t="shared" si="460"/>
        <v>162.805365477826</v>
      </c>
      <c r="AY514">
        <f t="shared" si="461"/>
        <v>1.56465398446389</v>
      </c>
      <c r="AZ514" t="str">
        <f t="shared" si="436"/>
        <v>1+1421,12261024574i</v>
      </c>
      <c r="BA514">
        <f t="shared" si="462"/>
        <v>1421.12296208022</v>
      </c>
      <c r="BB514">
        <f t="shared" si="463"/>
        <v>1.57009265785899</v>
      </c>
      <c r="BC514" s="30" t="str">
        <f t="shared" si="464"/>
        <v>-0,0000160181072903736+0,00294519420313273i</v>
      </c>
      <c r="BD514" s="32">
        <f t="shared" si="465"/>
        <v>-50.6175927985301</v>
      </c>
      <c r="BE514" s="31">
        <f t="shared" si="466"/>
        <v>90.311613031689</v>
      </c>
      <c r="BF514" s="30" t="str">
        <f t="shared" si="467"/>
        <v>-0,000552383061013744-0,0000686443092712744i</v>
      </c>
      <c r="BG514" s="68">
        <f t="shared" si="468"/>
        <v>-65.0886379534483</v>
      </c>
      <c r="BH514" s="31">
        <f t="shared" si="469"/>
        <v>-172.916203876466</v>
      </c>
      <c r="BI514" s="30" t="str">
        <f t="shared" si="476"/>
        <v>0,00326005720012094-0,00239289971057978i</v>
      </c>
      <c r="BJ514" s="68">
        <f t="shared" si="470"/>
        <v>-47.8637754754459</v>
      </c>
      <c r="BK514" s="31">
        <f t="shared" si="477"/>
        <v>-36.2788715078692</v>
      </c>
      <c r="BL514" s="32">
        <f t="shared" si="471"/>
        <v>-65.0886379534483</v>
      </c>
      <c r="BM514" s="31">
        <f t="shared" si="472"/>
        <v>-172.916203876466</v>
      </c>
      <c r="BO514">
        <f t="shared" si="473"/>
        <v>0</v>
      </c>
      <c r="BP514">
        <f t="shared" si="474"/>
        <v>0</v>
      </c>
    </row>
    <row r="515" spans="14:68">
      <c r="N515" s="7">
        <v>97</v>
      </c>
      <c r="O515" s="18">
        <f t="shared" si="475"/>
        <v>933254.300796992</v>
      </c>
      <c r="P515" s="86" t="str">
        <f t="shared" si="425"/>
        <v>15</v>
      </c>
      <c r="Q515" s="4" t="str">
        <f t="shared" si="426"/>
        <v>1+1710,27783226703i</v>
      </c>
      <c r="R515" s="4">
        <f t="shared" si="437"/>
        <v>1710.27812461717</v>
      </c>
      <c r="S515" s="4">
        <f t="shared" si="438"/>
        <v>1.57021162653908</v>
      </c>
      <c r="T515" s="4" t="str">
        <f t="shared" si="427"/>
        <v>1+1,17276194212596i</v>
      </c>
      <c r="U515" s="4">
        <f t="shared" si="439"/>
        <v>1.54122372577736</v>
      </c>
      <c r="V515" s="4">
        <f t="shared" si="440"/>
        <v>0.864743825756327</v>
      </c>
      <c r="W515" t="str">
        <f t="shared" si="428"/>
        <v>1-102,616669936022i</v>
      </c>
      <c r="X515" s="4">
        <f t="shared" si="441"/>
        <v>102.621542323035</v>
      </c>
      <c r="Y515" s="4">
        <f t="shared" si="442"/>
        <v>-1.56105162988178</v>
      </c>
      <c r="Z515" t="str">
        <f t="shared" si="429"/>
        <v>-5,19351886190996+5,44496615987053i</v>
      </c>
      <c r="AA515" s="4">
        <f t="shared" si="443"/>
        <v>7.52464581566134</v>
      </c>
      <c r="AB515" s="4">
        <f t="shared" si="444"/>
        <v>2.33256325980176</v>
      </c>
      <c r="AC515" s="67" t="str">
        <f t="shared" si="445"/>
        <v>-0,0208433265263154+0,183167698560218i</v>
      </c>
      <c r="AD515" s="68">
        <f t="shared" si="446"/>
        <v>-14.6871464187429</v>
      </c>
      <c r="AE515" s="31">
        <f t="shared" si="447"/>
        <v>96.4919722046101</v>
      </c>
      <c r="AF515" s="32" t="str">
        <f t="shared" si="448"/>
        <v>75,4669735059805</v>
      </c>
      <c r="AG515" s="32" t="str">
        <f t="shared" si="430"/>
        <v>1+1099,46432074309i</v>
      </c>
      <c r="AH515" s="32">
        <f t="shared" si="449"/>
        <v>1099.46477550991</v>
      </c>
      <c r="AI515" s="32">
        <f t="shared" si="450"/>
        <v>1.56988679321078</v>
      </c>
      <c r="AJ515" s="32" t="str">
        <f t="shared" si="431"/>
        <v>1+1,17276194212596i</v>
      </c>
      <c r="AK515" s="32">
        <f t="shared" si="451"/>
        <v>1.54122372577736</v>
      </c>
      <c r="AL515" s="32">
        <f t="shared" si="452"/>
        <v>0.864743825756327</v>
      </c>
      <c r="AM515" s="32" t="str">
        <f t="shared" si="432"/>
        <v>1-13,1118771200916i</v>
      </c>
      <c r="AN515" s="32">
        <f t="shared" si="453"/>
        <v>13.1499551943108</v>
      </c>
      <c r="AO515" s="32">
        <f t="shared" si="454"/>
        <v>-1.49467695364388</v>
      </c>
      <c r="AP515" s="30" t="str">
        <f t="shared" si="455"/>
        <v>-0,818474966748868-1,12486545861577i</v>
      </c>
      <c r="AQ515" s="32">
        <f t="shared" si="456"/>
        <v>2.8673114512836</v>
      </c>
      <c r="AR515" s="31">
        <f t="shared" si="457"/>
        <v>-126.040397167737</v>
      </c>
      <c r="AS515" t="str">
        <f t="shared" si="433"/>
        <v>-0,000338461538461538</v>
      </c>
      <c r="AT515" t="str">
        <f t="shared" si="434"/>
        <v>1,02648334508459i</v>
      </c>
      <c r="AU515">
        <f t="shared" si="458"/>
        <v>1.02648334508459</v>
      </c>
      <c r="AV515">
        <f t="shared" si="459"/>
        <v>1.5707963267949</v>
      </c>
      <c r="AW515" t="str">
        <f t="shared" si="435"/>
        <v>1+166,594446881354i</v>
      </c>
      <c r="AX515">
        <f t="shared" si="460"/>
        <v>166.597448154839</v>
      </c>
      <c r="AY515">
        <f t="shared" si="461"/>
        <v>1.56479379784767</v>
      </c>
      <c r="AZ515" t="str">
        <f t="shared" si="436"/>
        <v>1+1454,22480823619i</v>
      </c>
      <c r="BA515">
        <f t="shared" si="462"/>
        <v>1454.22515206194</v>
      </c>
      <c r="BB515">
        <f t="shared" si="463"/>
        <v>1.57010867531439</v>
      </c>
      <c r="BC515" s="30" t="str">
        <f t="shared" si="464"/>
        <v>-0,000015297199679583+0,00287815772556536i</v>
      </c>
      <c r="BD515" s="32">
        <f t="shared" si="465"/>
        <v>-50.8175855208359</v>
      </c>
      <c r="BE515" s="31">
        <f t="shared" si="466"/>
        <v>90.3045200474723</v>
      </c>
      <c r="BF515" s="30" t="str">
        <f t="shared" si="467"/>
        <v>-0,000526866682157259-0,0000627923341279214i</v>
      </c>
      <c r="BG515" s="68">
        <f t="shared" si="468"/>
        <v>-65.5047319395789</v>
      </c>
      <c r="BH515" s="31">
        <f t="shared" si="469"/>
        <v>-173.203507747918</v>
      </c>
      <c r="BI515" s="30" t="str">
        <f t="shared" si="476"/>
        <v>0,0032500605849357-0,00233849275719699i</v>
      </c>
      <c r="BJ515" s="68">
        <f t="shared" si="470"/>
        <v>-47.9502740695523</v>
      </c>
      <c r="BK515" s="31">
        <f t="shared" si="477"/>
        <v>-35.7358771202644</v>
      </c>
      <c r="BL515" s="32">
        <f t="shared" si="471"/>
        <v>-65.5047319395789</v>
      </c>
      <c r="BM515" s="31">
        <f t="shared" si="472"/>
        <v>-173.203507747918</v>
      </c>
      <c r="BO515">
        <f t="shared" si="473"/>
        <v>0</v>
      </c>
      <c r="BP515">
        <f t="shared" si="474"/>
        <v>0</v>
      </c>
    </row>
    <row r="516" spans="14:68">
      <c r="N516" s="7">
        <v>98</v>
      </c>
      <c r="O516" s="18">
        <f t="shared" si="475"/>
        <v>954992.586021437</v>
      </c>
      <c r="P516" s="86" t="str">
        <f t="shared" si="425"/>
        <v>15</v>
      </c>
      <c r="Q516" s="4" t="str">
        <f t="shared" si="426"/>
        <v>1+1750,11532061197i</v>
      </c>
      <c r="R516" s="4">
        <f t="shared" si="437"/>
        <v>1750.11560630741</v>
      </c>
      <c r="S516" s="4">
        <f t="shared" si="438"/>
        <v>1.57022493593888</v>
      </c>
      <c r="T516" s="4" t="str">
        <f t="shared" si="427"/>
        <v>1+1,20007907699107i</v>
      </c>
      <c r="U516" s="4">
        <f t="shared" si="439"/>
        <v>1.56211068462889</v>
      </c>
      <c r="V516" s="4">
        <f t="shared" si="440"/>
        <v>0.876090457940748</v>
      </c>
      <c r="W516" t="str">
        <f t="shared" si="428"/>
        <v>1-105,006919236718i</v>
      </c>
      <c r="X516" s="4">
        <f t="shared" si="441"/>
        <v>105.01168071975</v>
      </c>
      <c r="Y516" s="4">
        <f t="shared" si="442"/>
        <v>-1.56127343269818</v>
      </c>
      <c r="Z516" t="str">
        <f t="shared" si="429"/>
        <v>-5,48541041319762+5,57179571460136i</v>
      </c>
      <c r="AA516" s="4">
        <f t="shared" si="443"/>
        <v>7.81886404066901</v>
      </c>
      <c r="AB516" s="4">
        <f t="shared" si="444"/>
        <v>2.3483820696839</v>
      </c>
      <c r="AC516" s="67" t="str">
        <f t="shared" si="445"/>
        <v>-0,019489563085521+0,178757488354037i</v>
      </c>
      <c r="AD516" s="68">
        <f t="shared" si="446"/>
        <v>-14.9033945507583</v>
      </c>
      <c r="AE516" s="31">
        <f t="shared" si="447"/>
        <v>96.2222643595975</v>
      </c>
      <c r="AF516" s="32" t="str">
        <f t="shared" si="448"/>
        <v>75,4669735059805</v>
      </c>
      <c r="AG516" s="32" t="str">
        <f t="shared" si="430"/>
        <v>1+1125,07413467913i</v>
      </c>
      <c r="AH516" s="32">
        <f t="shared" si="449"/>
        <v>1125.0745790942</v>
      </c>
      <c r="AI516" s="32">
        <f t="shared" si="450"/>
        <v>1.56990749671176</v>
      </c>
      <c r="AJ516" s="32" t="str">
        <f t="shared" si="431"/>
        <v>1+1,20007907699107i</v>
      </c>
      <c r="AK516" s="32">
        <f t="shared" si="451"/>
        <v>1.56211068462889</v>
      </c>
      <c r="AL516" s="32">
        <f t="shared" si="452"/>
        <v>0.876090457940748</v>
      </c>
      <c r="AM516" s="32" t="str">
        <f t="shared" si="432"/>
        <v>1-13,4172919726361i</v>
      </c>
      <c r="AN516" s="32">
        <f t="shared" si="453"/>
        <v>13.4545057092026</v>
      </c>
      <c r="AO516" s="32">
        <f t="shared" si="454"/>
        <v>-1.49640318240654</v>
      </c>
      <c r="AP516" s="30" t="str">
        <f t="shared" si="455"/>
        <v>-0,81847780704184-1,14787140089727i</v>
      </c>
      <c r="AQ516" s="32">
        <f t="shared" si="456"/>
        <v>2.98310343692156</v>
      </c>
      <c r="AR516" s="31">
        <f t="shared" si="457"/>
        <v>-125.490374877683</v>
      </c>
      <c r="AS516" t="str">
        <f t="shared" si="433"/>
        <v>-0,000338461538461538</v>
      </c>
      <c r="AT516" t="str">
        <f t="shared" si="434"/>
        <v>1,05039321371797i</v>
      </c>
      <c r="AU516">
        <f t="shared" si="458"/>
        <v>1.05039321371797</v>
      </c>
      <c r="AV516">
        <f t="shared" si="459"/>
        <v>1.5707963267949</v>
      </c>
      <c r="AW516" t="str">
        <f t="shared" si="435"/>
        <v>1+170,474930046578i</v>
      </c>
      <c r="AX516">
        <f t="shared" si="460"/>
        <v>170.477863003927</v>
      </c>
      <c r="AY516">
        <f t="shared" si="461"/>
        <v>1.56493042891704</v>
      </c>
      <c r="AZ516" t="str">
        <f t="shared" si="436"/>
        <v>1+1488,09805546892i</v>
      </c>
      <c r="BA516">
        <f t="shared" si="462"/>
        <v>1488.09839146825</v>
      </c>
      <c r="BB516">
        <f t="shared" si="463"/>
        <v>1.57012432816833</v>
      </c>
      <c r="BC516" s="30" t="str">
        <f t="shared" si="464"/>
        <v>-0,0000146087359706157+0,00281264689570812i</v>
      </c>
      <c r="BD516" s="32">
        <f t="shared" si="465"/>
        <v>-51.0175785706803</v>
      </c>
      <c r="BE516" s="31">
        <f t="shared" si="466"/>
        <v>90.297588506315</v>
      </c>
      <c r="BF516" s="30" t="str">
        <f t="shared" si="467"/>
        <v>-0,000502496976822264-0,0000574286800613327i</v>
      </c>
      <c r="BG516" s="68">
        <f t="shared" si="468"/>
        <v>-65.9209731214386</v>
      </c>
      <c r="BH516" s="31">
        <f t="shared" si="469"/>
        <v>-173.480147134088</v>
      </c>
      <c r="BI516" s="30" t="str">
        <f t="shared" si="476"/>
        <v>0,00324051385858672-0,00228532011295829i</v>
      </c>
      <c r="BJ516" s="68">
        <f t="shared" si="470"/>
        <v>-48.0344751337587</v>
      </c>
      <c r="BK516" s="31">
        <f t="shared" si="477"/>
        <v>-35.1927863713684</v>
      </c>
      <c r="BL516" s="32">
        <f t="shared" si="471"/>
        <v>-65.9209731214386</v>
      </c>
      <c r="BM516" s="31">
        <f t="shared" si="472"/>
        <v>-173.480147134088</v>
      </c>
      <c r="BO516">
        <f t="shared" si="473"/>
        <v>0</v>
      </c>
      <c r="BP516">
        <f t="shared" si="474"/>
        <v>0</v>
      </c>
    </row>
    <row r="517" spans="14:68">
      <c r="N517" s="7">
        <v>99</v>
      </c>
      <c r="O517" s="18">
        <f t="shared" si="475"/>
        <v>977237.220955812</v>
      </c>
      <c r="P517" s="86" t="str">
        <f t="shared" si="425"/>
        <v>15</v>
      </c>
      <c r="Q517" s="4" t="str">
        <f t="shared" si="426"/>
        <v>1+1790,88074326542i</v>
      </c>
      <c r="R517" s="4">
        <f t="shared" si="437"/>
        <v>1790.88102245763</v>
      </c>
      <c r="S517" s="4">
        <f t="shared" si="438"/>
        <v>1.57023794237995</v>
      </c>
      <c r="T517" s="4" t="str">
        <f t="shared" si="427"/>
        <v>1+1,22803250966771i</v>
      </c>
      <c r="U517" s="4">
        <f t="shared" si="439"/>
        <v>1.58368678873089</v>
      </c>
      <c r="V517" s="4">
        <f t="shared" si="440"/>
        <v>0.887390063716869</v>
      </c>
      <c r="W517" t="str">
        <f t="shared" si="428"/>
        <v>1-107,452844595925i</v>
      </c>
      <c r="X517" s="4">
        <f t="shared" si="441"/>
        <v>107.457497699118</v>
      </c>
      <c r="Y517" s="4">
        <f t="shared" si="442"/>
        <v>-1.56149018757152</v>
      </c>
      <c r="Z517" t="str">
        <f t="shared" si="429"/>
        <v>-5,79105838948582+5,70157950917151i</v>
      </c>
      <c r="AA517" s="4">
        <f t="shared" si="443"/>
        <v>8.12676849490857</v>
      </c>
      <c r="AB517" s="4">
        <f t="shared" si="444"/>
        <v>2.36398008938712</v>
      </c>
      <c r="AC517" s="67" t="str">
        <f t="shared" si="445"/>
        <v>-0,018220379219661+0,17444419867962i</v>
      </c>
      <c r="AD517" s="68">
        <f t="shared" si="446"/>
        <v>-15.11974693228</v>
      </c>
      <c r="AE517" s="31">
        <f t="shared" si="447"/>
        <v>95.9628190293635</v>
      </c>
      <c r="AF517" s="32" t="str">
        <f t="shared" si="448"/>
        <v>75,4669735059805</v>
      </c>
      <c r="AG517" s="32" t="str">
        <f t="shared" si="430"/>
        <v>1+1151,28047781348i</v>
      </c>
      <c r="AH517" s="32">
        <f t="shared" si="449"/>
        <v>1151.28091211243</v>
      </c>
      <c r="AI517" s="32">
        <f t="shared" si="450"/>
        <v>1.56992772894426</v>
      </c>
      <c r="AJ517" s="32" t="str">
        <f t="shared" si="431"/>
        <v>1+1,22803250966771i</v>
      </c>
      <c r="AK517" s="32">
        <f t="shared" si="451"/>
        <v>1.58368678873089</v>
      </c>
      <c r="AL517" s="32">
        <f t="shared" si="452"/>
        <v>0.887390063716869</v>
      </c>
      <c r="AM517" s="32" t="str">
        <f t="shared" si="432"/>
        <v>1-13,7298208509834i</v>
      </c>
      <c r="AN517" s="32">
        <f t="shared" si="453"/>
        <v>13.7661897633332</v>
      </c>
      <c r="AO517" s="32">
        <f t="shared" si="454"/>
        <v>-1.49809054672123</v>
      </c>
      <c r="AP517" s="30" t="str">
        <f t="shared" si="455"/>
        <v>-0,818480519500781-1,17148595956209i</v>
      </c>
      <c r="AQ517" s="32">
        <f t="shared" si="456"/>
        <v>3.10117350080371</v>
      </c>
      <c r="AR517" s="31">
        <f t="shared" si="457"/>
        <v>-124.940793231815</v>
      </c>
      <c r="AS517" t="str">
        <f t="shared" si="433"/>
        <v>-0,000338461538461538</v>
      </c>
      <c r="AT517" t="str">
        <f t="shared" si="434"/>
        <v>1,07486001473686i</v>
      </c>
      <c r="AU517">
        <f t="shared" si="458"/>
        <v>1.07486001473686</v>
      </c>
      <c r="AV517">
        <f t="shared" si="459"/>
        <v>1.5707963267949</v>
      </c>
      <c r="AW517" t="str">
        <f t="shared" si="435"/>
        <v>1+174,445801276215i</v>
      </c>
      <c r="AX517">
        <f t="shared" si="460"/>
        <v>174.448667472413</v>
      </c>
      <c r="AY517">
        <f t="shared" si="461"/>
        <v>1.5650639500952</v>
      </c>
      <c r="AZ517" t="str">
        <f t="shared" si="436"/>
        <v>1+1522,76031198796i</v>
      </c>
      <c r="BA517">
        <f t="shared" si="462"/>
        <v>1522.76064033901</v>
      </c>
      <c r="BB517">
        <f t="shared" si="463"/>
        <v>1.57013962472013</v>
      </c>
      <c r="BC517" s="30" t="str">
        <f t="shared" si="464"/>
        <v>-0,0000139512561484366+0,00274862700485507i</v>
      </c>
      <c r="BD517" s="32">
        <f t="shared" si="465"/>
        <v>-51.2175719333226</v>
      </c>
      <c r="BE517" s="31">
        <f t="shared" si="466"/>
        <v>90.2908147341902</v>
      </c>
      <c r="BF517" s="30" t="str">
        <f t="shared" si="467"/>
        <v>-0,000479227838153491-0,0000525147420612485i</v>
      </c>
      <c r="BG517" s="68">
        <f t="shared" si="468"/>
        <v>-66.3373188656026</v>
      </c>
      <c r="BH517" s="31">
        <f t="shared" si="469"/>
        <v>-173.746366236446</v>
      </c>
      <c r="BI517" s="30" t="str">
        <f t="shared" si="476"/>
        <v>0,00323139677564098-0,00223335395815151i</v>
      </c>
      <c r="BJ517" s="68">
        <f t="shared" si="470"/>
        <v>-48.1163984325188</v>
      </c>
      <c r="BK517" s="31">
        <f t="shared" si="477"/>
        <v>-34.649978497625</v>
      </c>
      <c r="BL517" s="32">
        <f t="shared" si="471"/>
        <v>-66.3373188656026</v>
      </c>
      <c r="BM517" s="31">
        <f t="shared" si="472"/>
        <v>-173.746366236446</v>
      </c>
      <c r="BO517">
        <f t="shared" si="473"/>
        <v>0</v>
      </c>
      <c r="BP517">
        <f t="shared" si="474"/>
        <v>0</v>
      </c>
    </row>
    <row r="518" spans="14:68">
      <c r="N518" s="7">
        <v>100</v>
      </c>
      <c r="O518" s="18">
        <f t="shared" si="475"/>
        <v>1000000</v>
      </c>
      <c r="P518" s="86" t="str">
        <f t="shared" si="425"/>
        <v>15</v>
      </c>
      <c r="Q518" s="4" t="str">
        <f t="shared" si="426"/>
        <v>1+1832,59571459405i</v>
      </c>
      <c r="R518" s="4">
        <f t="shared" si="437"/>
        <v>1832.59598743108</v>
      </c>
      <c r="S518" s="4">
        <f t="shared" si="438"/>
        <v>1.57025065275846</v>
      </c>
      <c r="T518" s="4" t="str">
        <f t="shared" si="427"/>
        <v>1+1,25663706143592i</v>
      </c>
      <c r="U518" s="4">
        <f t="shared" si="439"/>
        <v>1.6059690856845</v>
      </c>
      <c r="V518" s="4">
        <f t="shared" si="440"/>
        <v>0.898637093056343</v>
      </c>
      <c r="W518" t="str">
        <f t="shared" si="428"/>
        <v>1-109,955742875643i</v>
      </c>
      <c r="X518" s="4">
        <f t="shared" si="441"/>
        <v>109.960290065707</v>
      </c>
      <c r="Y518" s="4">
        <f t="shared" si="442"/>
        <v>-1.56170200934657</v>
      </c>
      <c r="Z518" t="str">
        <f t="shared" si="429"/>
        <v>-6,11111111111115+5,83438635666675i</v>
      </c>
      <c r="AA518" s="4">
        <f t="shared" si="443"/>
        <v>8.44900841348884</v>
      </c>
      <c r="AB518" s="4">
        <f t="shared" si="444"/>
        <v>2.37935595919658</v>
      </c>
      <c r="AC518" s="67" t="str">
        <f t="shared" si="445"/>
        <v>-0,0170311132976111+0,170227231573439i</v>
      </c>
      <c r="AD518" s="68">
        <f t="shared" si="446"/>
        <v>-15.3361631405113</v>
      </c>
      <c r="AE518" s="31">
        <f t="shared" si="447"/>
        <v>95.7133891513872</v>
      </c>
      <c r="AF518" s="32" t="str">
        <f t="shared" si="448"/>
        <v>75,4669735059805</v>
      </c>
      <c r="AG518" s="32" t="str">
        <f t="shared" si="430"/>
        <v>1+1178,09724509617i</v>
      </c>
      <c r="AH518" s="32">
        <f t="shared" si="449"/>
        <v>1178.09766950927</v>
      </c>
      <c r="AI518" s="32">
        <f t="shared" si="450"/>
        <v>1.5699475006356</v>
      </c>
      <c r="AJ518" s="32" t="str">
        <f t="shared" si="431"/>
        <v>1+1,25663706143592i</v>
      </c>
      <c r="AK518" s="32">
        <f t="shared" si="451"/>
        <v>1.6059690856845</v>
      </c>
      <c r="AL518" s="32">
        <f t="shared" si="452"/>
        <v>0.898637093056343</v>
      </c>
      <c r="AM518" s="32" t="str">
        <f t="shared" si="432"/>
        <v>1-14,0496294620815i</v>
      </c>
      <c r="AN518" s="32">
        <f t="shared" si="453"/>
        <v>14.0851726301735</v>
      </c>
      <c r="AO518" s="32">
        <f t="shared" si="454"/>
        <v>-1.49973990279524</v>
      </c>
      <c r="AP518" s="30" t="str">
        <f t="shared" si="455"/>
        <v>-0,818483109879134-1,19572165537699i</v>
      </c>
      <c r="AQ518" s="32">
        <f t="shared" si="456"/>
        <v>3.22149983723725</v>
      </c>
      <c r="AR518" s="31">
        <f t="shared" si="457"/>
        <v>-124.392019895027</v>
      </c>
      <c r="AS518" t="str">
        <f t="shared" si="433"/>
        <v>-0,000338461538461538</v>
      </c>
      <c r="AT518" t="str">
        <f t="shared" si="434"/>
        <v>1,09989672076302i</v>
      </c>
      <c r="AU518">
        <f t="shared" si="458"/>
        <v>1.09989672076302</v>
      </c>
      <c r="AV518">
        <f t="shared" si="459"/>
        <v>1.5707963267949</v>
      </c>
      <c r="AW518" t="str">
        <f t="shared" si="435"/>
        <v>1+178,509165978752i</v>
      </c>
      <c r="AX518">
        <f t="shared" si="460"/>
        <v>178.511966933395</v>
      </c>
      <c r="AY518">
        <f t="shared" si="461"/>
        <v>1.56519443215779</v>
      </c>
      <c r="AZ518" t="str">
        <f t="shared" si="436"/>
        <v>1+1558,22995618054i</v>
      </c>
      <c r="BA518">
        <f t="shared" si="462"/>
        <v>1558.23027705741</v>
      </c>
      <c r="BB518">
        <f t="shared" si="463"/>
        <v>1.57015457308021</v>
      </c>
      <c r="BC518" s="30" t="str">
        <f t="shared" si="464"/>
        <v>-0,0000133233658918197+0,00268606413308052i</v>
      </c>
      <c r="BD518" s="32">
        <f t="shared" si="465"/>
        <v>-51.4175655946854</v>
      </c>
      <c r="BE518" s="31">
        <f t="shared" si="466"/>
        <v>90.2841951406446</v>
      </c>
      <c r="BF518" s="30" t="str">
        <f t="shared" si="467"/>
        <v>-0,000457014349448997-0,0000480146622661483i</v>
      </c>
      <c r="BG518" s="68">
        <f t="shared" si="468"/>
        <v>-66.7537287351967</v>
      </c>
      <c r="BH518" s="31">
        <f t="shared" si="469"/>
        <v>-174.002415707968</v>
      </c>
      <c r="BI518" s="30" t="str">
        <f t="shared" si="476"/>
        <v>0,00322269000160499-0,00218256708785918i</v>
      </c>
      <c r="BJ518" s="68">
        <f t="shared" si="470"/>
        <v>-48.1960657574481</v>
      </c>
      <c r="BK518" s="31">
        <f t="shared" si="477"/>
        <v>-34.1078247543821</v>
      </c>
      <c r="BL518" s="32">
        <f t="shared" si="471"/>
        <v>-66.7537287351967</v>
      </c>
      <c r="BM518" s="31">
        <f t="shared" si="472"/>
        <v>-174.002415707968</v>
      </c>
      <c r="BO518">
        <f t="shared" si="473"/>
        <v>0</v>
      </c>
      <c r="BP518">
        <f t="shared" si="474"/>
        <v>0</v>
      </c>
    </row>
    <row r="519" spans="14:68">
      <c r="N519" s="7">
        <v>1</v>
      </c>
      <c r="O519" s="18">
        <f>10^(6+(N519/100))</f>
        <v>1023292.99228076</v>
      </c>
      <c r="P519" s="86" t="str">
        <f t="shared" si="425"/>
        <v>15</v>
      </c>
      <c r="Q519" s="4" t="str">
        <f t="shared" si="426"/>
        <v>1+1875,28235242783i</v>
      </c>
      <c r="R519" s="4">
        <f t="shared" si="437"/>
        <v>1875.28261905433</v>
      </c>
      <c r="S519" s="4">
        <f t="shared" si="438"/>
        <v>1.5702630738136</v>
      </c>
      <c r="T519" s="4" t="str">
        <f t="shared" si="427"/>
        <v>1+1,28590789880766i</v>
      </c>
      <c r="U519" s="4">
        <f t="shared" si="439"/>
        <v>1.62897486911736</v>
      </c>
      <c r="V519" s="4">
        <f t="shared" si="440"/>
        <v>0.90982612834031</v>
      </c>
      <c r="W519" t="str">
        <f t="shared" si="428"/>
        <v>1-112,51694114567i</v>
      </c>
      <c r="X519" s="4">
        <f t="shared" si="441"/>
        <v>112.521384833187</v>
      </c>
      <c r="Y519" s="4">
        <f t="shared" si="442"/>
        <v>-1.56190901025796</v>
      </c>
      <c r="Z519" t="str">
        <f t="shared" si="429"/>
        <v>-6,44624745280645+5,97028667303553i</v>
      </c>
      <c r="AA519" s="4">
        <f t="shared" si="443"/>
        <v>8.7862636644389</v>
      </c>
      <c r="AB519" s="4">
        <f t="shared" si="444"/>
        <v>2.39450855222117</v>
      </c>
      <c r="AC519" s="67" t="str">
        <f t="shared" si="445"/>
        <v>-0,0159172866675579+0,16610582499651i</v>
      </c>
      <c r="AD519" s="68">
        <f t="shared" si="446"/>
        <v>-15.5526049653036</v>
      </c>
      <c r="AE519" s="31">
        <f t="shared" si="447"/>
        <v>95.4737220683781</v>
      </c>
      <c r="AF519" s="32" t="str">
        <f t="shared" si="448"/>
        <v>75,4669735059805</v>
      </c>
      <c r="AG519" s="32" t="str">
        <f t="shared" si="430"/>
        <v>1+1205,53865513218i</v>
      </c>
      <c r="AH519" s="32">
        <f t="shared" si="449"/>
        <v>1205.53906988447</v>
      </c>
      <c r="AI519" s="32">
        <f t="shared" si="450"/>
        <v>1.56996682226895</v>
      </c>
      <c r="AJ519" s="32" t="str">
        <f t="shared" si="431"/>
        <v>1+1,28590789880766i</v>
      </c>
      <c r="AK519" s="32">
        <f t="shared" si="451"/>
        <v>1.62897486911736</v>
      </c>
      <c r="AL519" s="32">
        <f t="shared" si="452"/>
        <v>0.90982612834031</v>
      </c>
      <c r="AM519" s="32" t="str">
        <f t="shared" si="432"/>
        <v>1-14,3768873726892i</v>
      </c>
      <c r="AN519" s="32">
        <f t="shared" si="453"/>
        <v>14.4116234521649</v>
      </c>
      <c r="AO519" s="32">
        <f t="shared" si="454"/>
        <v>-1.50135208922392</v>
      </c>
      <c r="AP519" s="30" t="str">
        <f t="shared" si="455"/>
        <v>-0,818485583671411-1,22059133844284i</v>
      </c>
      <c r="AQ519" s="32">
        <f t="shared" si="456"/>
        <v>3.34405868783271</v>
      </c>
      <c r="AR519" s="31">
        <f t="shared" si="457"/>
        <v>-123.844413922627</v>
      </c>
      <c r="AS519" t="str">
        <f t="shared" si="433"/>
        <v>-0,000338461538461538</v>
      </c>
      <c r="AT519" t="str">
        <f t="shared" si="434"/>
        <v>1,12551660658938i</v>
      </c>
      <c r="AU519">
        <f t="shared" si="458"/>
        <v>1.12551660658938</v>
      </c>
      <c r="AV519">
        <f t="shared" si="459"/>
        <v>1.5707963267949</v>
      </c>
      <c r="AW519" t="str">
        <f t="shared" si="435"/>
        <v>1+182,667178603939i</v>
      </c>
      <c r="AX519">
        <f t="shared" si="460"/>
        <v>182.669915802037</v>
      </c>
      <c r="AY519">
        <f t="shared" si="461"/>
        <v>1.56532194427034</v>
      </c>
      <c r="AZ519" t="str">
        <f t="shared" si="436"/>
        <v>1+1594,52579452149i</v>
      </c>
      <c r="BA519">
        <f t="shared" si="462"/>
        <v>1594.52610809431</v>
      </c>
      <c r="BB519">
        <f t="shared" si="463"/>
        <v>1.57016918117434</v>
      </c>
      <c r="BC519" s="30" t="str">
        <f t="shared" si="464"/>
        <v>-0,0000127237336181957+0,00262492513136991i</v>
      </c>
      <c r="BD519" s="32">
        <f t="shared" si="465"/>
        <v>-51.617559541325</v>
      </c>
      <c r="BE519" s="31">
        <f t="shared" si="466"/>
        <v>90.2777262168991</v>
      </c>
      <c r="BF519" s="30" t="str">
        <f t="shared" si="467"/>
        <v>-0,000435812827184789-0,0000438951720665782i</v>
      </c>
      <c r="BG519" s="68">
        <f t="shared" si="468"/>
        <v>-67.1701645066286</v>
      </c>
      <c r="BH519" s="31">
        <f t="shared" si="469"/>
        <v>-174.248551714723</v>
      </c>
      <c r="BI519" s="30" t="str">
        <f t="shared" si="476"/>
        <v>0,00321437507194801-0,00213293289919603i</v>
      </c>
      <c r="BJ519" s="68">
        <f t="shared" si="470"/>
        <v>-48.2735008534923</v>
      </c>
      <c r="BK519" s="31">
        <f t="shared" si="477"/>
        <v>-33.5666877057284</v>
      </c>
      <c r="BL519" s="32">
        <f t="shared" si="471"/>
        <v>-67.1701645066286</v>
      </c>
      <c r="BM519" s="31">
        <f t="shared" si="472"/>
        <v>-174.248551714723</v>
      </c>
      <c r="BO519">
        <f t="shared" si="473"/>
        <v>0</v>
      </c>
      <c r="BP519">
        <f t="shared" si="474"/>
        <v>0</v>
      </c>
    </row>
    <row r="520" spans="14:68">
      <c r="N520" s="7">
        <v>2</v>
      </c>
      <c r="O520" s="18">
        <f t="shared" ref="O520:O560" si="478">10^(6+(N520/100))</f>
        <v>1047128.5480509</v>
      </c>
      <c r="P520" s="86" t="str">
        <f t="shared" si="425"/>
        <v>15</v>
      </c>
      <c r="Q520" s="4" t="str">
        <f t="shared" si="426"/>
        <v>1+1918,96328978716i</v>
      </c>
      <c r="R520" s="4">
        <f t="shared" si="437"/>
        <v>1918.9635503445</v>
      </c>
      <c r="S520" s="4">
        <f t="shared" si="438"/>
        <v>1.57027521213116</v>
      </c>
      <c r="T520" s="4" t="str">
        <f t="shared" si="427"/>
        <v>1+1,31586054156834i</v>
      </c>
      <c r="U520" s="4">
        <f t="shared" si="439"/>
        <v>1.65272168402805</v>
      </c>
      <c r="V520" s="4">
        <f t="shared" si="440"/>
        <v>0.920951896275281</v>
      </c>
      <c r="W520" t="str">
        <f t="shared" si="428"/>
        <v>1-115,13779738723i</v>
      </c>
      <c r="X520" s="4">
        <f t="shared" si="441"/>
        <v>115.142139927929</v>
      </c>
      <c r="Y520" s="4">
        <f t="shared" si="442"/>
        <v>-1.56211129998932</v>
      </c>
      <c r="Z520" t="str">
        <f t="shared" si="429"/>
        <v>-6,79717828368492+6,10935251442443i</v>
      </c>
      <c r="AA520" s="4">
        <f t="shared" si="443"/>
        <v>9.13924618148028</v>
      </c>
      <c r="AB520" s="4">
        <f t="shared" si="444"/>
        <v>2.40943697002228</v>
      </c>
      <c r="AC520" s="67" t="str">
        <f t="shared" si="445"/>
        <v>-0,0148746043634191+0,162079068678068i</v>
      </c>
      <c r="AD520" s="68">
        <f t="shared" si="446"/>
        <v>-15.7690364155428</v>
      </c>
      <c r="AE520" s="31">
        <f t="shared" si="447"/>
        <v>95.2435604578702</v>
      </c>
      <c r="AF520" s="32" t="str">
        <f t="shared" si="448"/>
        <v>75,4669735059805</v>
      </c>
      <c r="AG520" s="32" t="str">
        <f t="shared" si="430"/>
        <v>1+1233,61925772032i</v>
      </c>
      <c r="AH520" s="32">
        <f t="shared" si="449"/>
        <v>1233.6196630317</v>
      </c>
      <c r="AI520" s="32">
        <f t="shared" si="450"/>
        <v>1.56998570408882</v>
      </c>
      <c r="AJ520" s="32" t="str">
        <f t="shared" si="431"/>
        <v>1+1,31586054156834i</v>
      </c>
      <c r="AK520" s="32">
        <f t="shared" si="451"/>
        <v>1.65272168402805</v>
      </c>
      <c r="AL520" s="32">
        <f t="shared" si="452"/>
        <v>0.920951896275281</v>
      </c>
      <c r="AM520" s="32" t="str">
        <f t="shared" si="432"/>
        <v>1-14,7117680992825i</v>
      </c>
      <c r="AN520" s="32">
        <f t="shared" si="453"/>
        <v>14.7457153304635</v>
      </c>
      <c r="AO520" s="32">
        <f t="shared" si="454"/>
        <v>-1.50292792726857</v>
      </c>
      <c r="AP520" s="30" t="str">
        <f t="shared" si="455"/>
        <v>-0,818487946124854-1,246108195008i</v>
      </c>
      <c r="AQ520" s="32">
        <f t="shared" si="456"/>
        <v>3.4688244224789</v>
      </c>
      <c r="AR520" s="31">
        <f t="shared" si="457"/>
        <v>-123.298325093854</v>
      </c>
      <c r="AS520" t="str">
        <f t="shared" si="433"/>
        <v>-0,000338461538461538</v>
      </c>
      <c r="AT520" t="str">
        <f t="shared" si="434"/>
        <v>1,15173325621852i</v>
      </c>
      <c r="AU520">
        <f t="shared" si="458"/>
        <v>1.15173325621852</v>
      </c>
      <c r="AV520">
        <f t="shared" si="459"/>
        <v>1.5707963267949</v>
      </c>
      <c r="AW520" t="str">
        <f t="shared" si="435"/>
        <v>1+186,922043785108i</v>
      </c>
      <c r="AX520">
        <f t="shared" si="460"/>
        <v>186.924718677873</v>
      </c>
      <c r="AY520">
        <f t="shared" si="461"/>
        <v>1.56544655402487</v>
      </c>
      <c r="AZ520" t="str">
        <f t="shared" si="436"/>
        <v>1+1631,66707154474i</v>
      </c>
      <c r="BA520">
        <f t="shared" si="462"/>
        <v>1631.66737797977</v>
      </c>
      <c r="BB520">
        <f t="shared" si="463"/>
        <v>1.57018345674791</v>
      </c>
      <c r="BC520" s="30" t="str">
        <f t="shared" si="464"/>
        <v>-0,000012151087661368+0,00256517760415199i</v>
      </c>
      <c r="BD520" s="32">
        <f t="shared" si="465"/>
        <v>-51.8175537604026</v>
      </c>
      <c r="BE520" s="31">
        <f t="shared" si="466"/>
        <v>90.2714045339944</v>
      </c>
      <c r="BF520" s="30" t="str">
        <f t="shared" si="467"/>
        <v>-0,000415580854453244-0,0000401254389552442i</v>
      </c>
      <c r="BG520" s="68">
        <f t="shared" si="468"/>
        <v>-67.5865901759454</v>
      </c>
      <c r="BH520" s="31">
        <f t="shared" si="469"/>
        <v>-174.485035008135</v>
      </c>
      <c r="BI520" s="30" t="str">
        <f t="shared" si="476"/>
        <v>0,00320643435296792-0,00208442537875474i</v>
      </c>
      <c r="BJ520" s="68">
        <f t="shared" si="470"/>
        <v>-48.3487293379237</v>
      </c>
      <c r="BK520" s="31">
        <f t="shared" si="477"/>
        <v>-33.02692055986</v>
      </c>
      <c r="BL520" s="32">
        <f t="shared" si="471"/>
        <v>-67.5865901759454</v>
      </c>
      <c r="BM520" s="31">
        <f t="shared" si="472"/>
        <v>-174.485035008135</v>
      </c>
      <c r="BO520">
        <f t="shared" si="473"/>
        <v>0</v>
      </c>
      <c r="BP520">
        <f t="shared" si="474"/>
        <v>0</v>
      </c>
    </row>
    <row r="521" spans="14:68">
      <c r="N521" s="7">
        <v>3</v>
      </c>
      <c r="O521" s="18">
        <f t="shared" si="478"/>
        <v>1071519.30523761</v>
      </c>
      <c r="P521" s="86" t="str">
        <f t="shared" si="425"/>
        <v>15</v>
      </c>
      <c r="Q521" s="4" t="str">
        <f t="shared" si="426"/>
        <v>1+1963,66168688323i</v>
      </c>
      <c r="R521" s="4">
        <f t="shared" si="437"/>
        <v>1963.66194150956</v>
      </c>
      <c r="S521" s="4">
        <f t="shared" si="438"/>
        <v>1.57028707414703</v>
      </c>
      <c r="T521" s="4" t="str">
        <f t="shared" si="427"/>
        <v>1+1,34651087100564i</v>
      </c>
      <c r="U521" s="4">
        <f t="shared" si="439"/>
        <v>1.67722733275378</v>
      </c>
      <c r="V521" s="4">
        <f t="shared" si="440"/>
        <v>0.932009278959641</v>
      </c>
      <c r="W521" t="str">
        <f t="shared" si="428"/>
        <v>1-117,819701212994i</v>
      </c>
      <c r="X521" s="4">
        <f t="shared" si="441"/>
        <v>117.823944909</v>
      </c>
      <c r="Y521" s="4">
        <f t="shared" si="442"/>
        <v>-1.56230898573108</v>
      </c>
      <c r="Z521" t="str">
        <f t="shared" si="429"/>
        <v>-7,16464797508898+6,25165761538332i</v>
      </c>
      <c r="AA521" s="4">
        <f t="shared" si="443"/>
        <v>9.50870146481247</v>
      </c>
      <c r="AB521" s="4">
        <f t="shared" si="444"/>
        <v>2.42414053768047</v>
      </c>
      <c r="AC521" s="67" t="str">
        <f t="shared" si="445"/>
        <v>-0,0138989548264651+0,158145919304215i</v>
      </c>
      <c r="AD521" s="68">
        <f t="shared" si="446"/>
        <v>-15.9854237155142</v>
      </c>
      <c r="AE521" s="31">
        <f t="shared" si="447"/>
        <v>95.0226432454267</v>
      </c>
      <c r="AF521" s="32" t="str">
        <f t="shared" si="448"/>
        <v>75,4669735059805</v>
      </c>
      <c r="AG521" s="32" t="str">
        <f t="shared" si="430"/>
        <v>1+1262,35394156779i</v>
      </c>
      <c r="AH521" s="32">
        <f t="shared" si="449"/>
        <v>1262.35433765315</v>
      </c>
      <c r="AI521" s="32">
        <f t="shared" si="450"/>
        <v>1.57000415610656</v>
      </c>
      <c r="AJ521" s="32" t="str">
        <f t="shared" si="431"/>
        <v>1+1,34651087100564i</v>
      </c>
      <c r="AK521" s="32">
        <f t="shared" si="451"/>
        <v>1.67722733275378</v>
      </c>
      <c r="AL521" s="32">
        <f t="shared" si="452"/>
        <v>0.932009278959641</v>
      </c>
      <c r="AM521" s="32" t="str">
        <f t="shared" si="432"/>
        <v>1-15,0544492000553i</v>
      </c>
      <c r="AN521" s="32">
        <f t="shared" si="453"/>
        <v>15.0876254167793</v>
      </c>
      <c r="AO521" s="32">
        <f t="shared" si="454"/>
        <v>-1.50446822113599</v>
      </c>
      <c r="AP521" s="30" t="str">
        <f t="shared" si="455"/>
        <v>-0,818490202250511-1,27228575445992i</v>
      </c>
      <c r="AQ521" s="32">
        <f t="shared" si="456"/>
        <v>3.59576962678871</v>
      </c>
      <c r="AR521" s="31">
        <f t="shared" si="457"/>
        <v>-122.754093294133</v>
      </c>
      <c r="AS521" t="str">
        <f t="shared" si="433"/>
        <v>-0,000338461538461538</v>
      </c>
      <c r="AT521" t="str">
        <f t="shared" si="434"/>
        <v>1,17856057006511i</v>
      </c>
      <c r="AU521">
        <f t="shared" si="458"/>
        <v>1.17856057006511</v>
      </c>
      <c r="AV521">
        <f t="shared" si="459"/>
        <v>1.5707963267949</v>
      </c>
      <c r="AW521" t="str">
        <f t="shared" si="435"/>
        <v>1+191,276017508097i</v>
      </c>
      <c r="AX521">
        <f t="shared" si="460"/>
        <v>191.27863151371</v>
      </c>
      <c r="AY521">
        <f t="shared" si="461"/>
        <v>1.56556832747563</v>
      </c>
      <c r="AZ521" t="str">
        <f t="shared" si="436"/>
        <v>1+1669,673480047i</v>
      </c>
      <c r="BA521">
        <f t="shared" si="462"/>
        <v>1669.67377950672</v>
      </c>
      <c r="BB521">
        <f t="shared" si="463"/>
        <v>1.57019740737</v>
      </c>
      <c r="BC521" s="30" t="str">
        <f t="shared" si="464"/>
        <v>-0,0000116042135761252+0,00250678989222296i</v>
      </c>
      <c r="BD521" s="32">
        <f t="shared" si="465"/>
        <v>-52.0175482396572</v>
      </c>
      <c r="BE521" s="31">
        <f t="shared" si="466"/>
        <v>90.2652267409764</v>
      </c>
      <c r="BF521" s="30" t="str">
        <f t="shared" si="467"/>
        <v>-0,000396277305567823-0,000036676918495245i</v>
      </c>
      <c r="BG521" s="68">
        <f t="shared" si="468"/>
        <v>-68.0029719551715</v>
      </c>
      <c r="BH521" s="31">
        <f t="shared" si="469"/>
        <v>-174.712130013597</v>
      </c>
      <c r="BI521" s="30" t="str">
        <f t="shared" si="476"/>
        <v>0,00319885100441627-0,00203701909026049i</v>
      </c>
      <c r="BJ521" s="68">
        <f t="shared" si="470"/>
        <v>-48.4217786128685</v>
      </c>
      <c r="BK521" s="31">
        <f t="shared" si="477"/>
        <v>-32.4888665531561</v>
      </c>
      <c r="BL521" s="32">
        <f t="shared" si="471"/>
        <v>-68.0029719551715</v>
      </c>
      <c r="BM521" s="31">
        <f t="shared" si="472"/>
        <v>-174.712130013597</v>
      </c>
      <c r="BO521">
        <f t="shared" si="473"/>
        <v>0</v>
      </c>
      <c r="BP521">
        <f t="shared" si="474"/>
        <v>0</v>
      </c>
    </row>
    <row r="522" spans="14:68">
      <c r="N522" s="7">
        <v>4</v>
      </c>
      <c r="O522" s="18">
        <f t="shared" si="478"/>
        <v>1096478.19614319</v>
      </c>
      <c r="P522" s="86" t="str">
        <f t="shared" si="425"/>
        <v>15</v>
      </c>
      <c r="Q522" s="4" t="str">
        <f t="shared" si="426"/>
        <v>1+2009,40124339781i</v>
      </c>
      <c r="R522" s="4">
        <f t="shared" si="437"/>
        <v>2009.40149222814</v>
      </c>
      <c r="S522" s="4">
        <f t="shared" si="438"/>
        <v>1.5702986661506</v>
      </c>
      <c r="T522" s="4" t="str">
        <f t="shared" si="427"/>
        <v>1+1,37787513832993i</v>
      </c>
      <c r="U522" s="4">
        <f t="shared" si="439"/>
        <v>1.70250988156537</v>
      </c>
      <c r="V522" s="4">
        <f t="shared" si="440"/>
        <v>0.942993324053731</v>
      </c>
      <c r="W522" t="str">
        <f t="shared" si="428"/>
        <v>1-120,564074603869i</v>
      </c>
      <c r="X522" s="4">
        <f t="shared" si="441"/>
        <v>120.568221704922</v>
      </c>
      <c r="Y522" s="4">
        <f t="shared" si="442"/>
        <v>-1.56250217223699</v>
      </c>
      <c r="Z522" t="str">
        <f t="shared" si="429"/>
        <v>-7,54943597950166+6,39727742796036i</v>
      </c>
      <c r="AA522" s="4">
        <f t="shared" si="443"/>
        <v>9.89541015314097</v>
      </c>
      <c r="AB522" s="4">
        <f t="shared" si="444"/>
        <v>2.43861879834548</v>
      </c>
      <c r="AC522" s="67" t="str">
        <f t="shared" si="445"/>
        <v>-0,0129864087352105+0,154305215012587i</v>
      </c>
      <c r="AD522" s="68">
        <f t="shared" si="446"/>
        <v>-16.201735291674</v>
      </c>
      <c r="AE522" s="31">
        <f t="shared" si="447"/>
        <v>94.8107064961759</v>
      </c>
      <c r="AF522" s="32" t="str">
        <f t="shared" si="448"/>
        <v>75,4669735059805</v>
      </c>
      <c r="AG522" s="32" t="str">
        <f t="shared" si="430"/>
        <v>1+1291,75794218431i</v>
      </c>
      <c r="AH522" s="32">
        <f t="shared" si="449"/>
        <v>1291.75832925367</v>
      </c>
      <c r="AI522" s="32">
        <f t="shared" si="450"/>
        <v>1.57002218810561</v>
      </c>
      <c r="AJ522" s="32" t="str">
        <f t="shared" si="431"/>
        <v>1+1,37787513832993i</v>
      </c>
      <c r="AK522" s="32">
        <f t="shared" si="451"/>
        <v>1.70250988156537</v>
      </c>
      <c r="AL522" s="32">
        <f t="shared" si="452"/>
        <v>0.942993324053731</v>
      </c>
      <c r="AM522" s="32" t="str">
        <f t="shared" si="432"/>
        <v>1-15,4051123690632i</v>
      </c>
      <c r="AN522" s="32">
        <f t="shared" si="453"/>
        <v>15.43753500736</v>
      </c>
      <c r="AO522" s="32">
        <f t="shared" si="454"/>
        <v>-1.50597375825909</v>
      </c>
      <c r="AP522" s="30" t="str">
        <f t="shared" si="455"/>
        <v>-0,818492356833905-1,29913789649863i</v>
      </c>
      <c r="AQ522" s="32">
        <f t="shared" si="456"/>
        <v>3.72486519527998</v>
      </c>
      <c r="AR522" s="31">
        <f t="shared" si="457"/>
        <v>-122.212047948756</v>
      </c>
      <c r="AS522" t="str">
        <f t="shared" si="433"/>
        <v>-0,000338461538461538</v>
      </c>
      <c r="AT522" t="str">
        <f t="shared" si="434"/>
        <v>1,20601277232604i</v>
      </c>
      <c r="AU522">
        <f t="shared" si="458"/>
        <v>1.20601277232604</v>
      </c>
      <c r="AV522">
        <f t="shared" si="459"/>
        <v>1.5707963267949</v>
      </c>
      <c r="AW522" t="str">
        <f t="shared" si="435"/>
        <v>1+195,731408307407i</v>
      </c>
      <c r="AX522">
        <f t="shared" si="460"/>
        <v>195.733962811774</v>
      </c>
      <c r="AY522">
        <f t="shared" si="461"/>
        <v>1.56568732917406</v>
      </c>
      <c r="AZ522" t="str">
        <f t="shared" si="436"/>
        <v>1+1708,56517152911i</v>
      </c>
      <c r="BA522">
        <f t="shared" si="462"/>
        <v>1708.5654641723</v>
      </c>
      <c r="BB522">
        <f t="shared" si="463"/>
        <v>1.57021104043739</v>
      </c>
      <c r="BC522" s="30" t="str">
        <f t="shared" si="464"/>
        <v>-0,0000110819515640542+0,00244973105605467i</v>
      </c>
      <c r="BD522" s="32">
        <f t="shared" si="465"/>
        <v>-52.2175429673796</v>
      </c>
      <c r="BE522" s="31">
        <f t="shared" si="466"/>
        <v>90.2591895631245</v>
      </c>
      <c r="BF522" s="30" t="str">
        <f t="shared" si="467"/>
        <v>-0,000377862362574933-0,0000335232117041153i</v>
      </c>
      <c r="BG522" s="68">
        <f t="shared" si="468"/>
        <v>-68.4192782590536</v>
      </c>
      <c r="BH522" s="31">
        <f t="shared" si="469"/>
        <v>-174.9301039407</v>
      </c>
      <c r="BI522" s="30" t="str">
        <f t="shared" si="476"/>
        <v>0,00319160894380421-0,00199068916243537i</v>
      </c>
      <c r="BJ522" s="68">
        <f t="shared" si="470"/>
        <v>-48.4926777720996</v>
      </c>
      <c r="BK522" s="31">
        <f t="shared" si="477"/>
        <v>-31.9528583856311</v>
      </c>
      <c r="BL522" s="32">
        <f t="shared" si="471"/>
        <v>-68.4192782590536</v>
      </c>
      <c r="BM522" s="31">
        <f t="shared" si="472"/>
        <v>-174.9301039407</v>
      </c>
      <c r="BO522">
        <f t="shared" si="473"/>
        <v>0</v>
      </c>
      <c r="BP522">
        <f t="shared" si="474"/>
        <v>0</v>
      </c>
    </row>
    <row r="523" spans="14:68">
      <c r="N523" s="7">
        <v>5</v>
      </c>
      <c r="O523" s="18">
        <f t="shared" si="478"/>
        <v>1122018.45430196</v>
      </c>
      <c r="P523" s="86" t="str">
        <f t="shared" si="425"/>
        <v>15</v>
      </c>
      <c r="Q523" s="4" t="str">
        <f t="shared" si="426"/>
        <v>1+2056,20621104921i</v>
      </c>
      <c r="R523" s="4">
        <f t="shared" si="437"/>
        <v>2056.20645421547</v>
      </c>
      <c r="S523" s="4">
        <f t="shared" si="438"/>
        <v>1.57030999428808</v>
      </c>
      <c r="T523" s="4" t="str">
        <f t="shared" si="427"/>
        <v>1+1,40996997329089i</v>
      </c>
      <c r="U523" s="4">
        <f t="shared" si="439"/>
        <v>1.72858766789015</v>
      </c>
      <c r="V523" s="4">
        <f t="shared" si="440"/>
        <v>0.953899254015778</v>
      </c>
      <c r="W523" t="str">
        <f t="shared" si="428"/>
        <v>1-123,372372662953i</v>
      </c>
      <c r="X523" s="4">
        <f t="shared" si="441"/>
        <v>123.376425367598</v>
      </c>
      <c r="Y523" s="4">
        <f t="shared" si="442"/>
        <v>-1.5626909618794</v>
      </c>
      <c r="Z523" t="str">
        <f t="shared" si="429"/>
        <v>-7,95235848386968+6,54628916170769i</v>
      </c>
      <c r="AA523" s="4">
        <f t="shared" si="443"/>
        <v>10.3001896703248</v>
      </c>
      <c r="AB523" s="4">
        <f t="shared" si="444"/>
        <v>2.45287150731654</v>
      </c>
      <c r="AC523" s="67" t="str">
        <f t="shared" si="445"/>
        <v>-0,0121332170350803+0,150555689163545i</v>
      </c>
      <c r="AD523" s="68">
        <f t="shared" si="446"/>
        <v>-16.417941750331</v>
      </c>
      <c r="AE523" s="31">
        <f t="shared" si="447"/>
        <v>94.6074842798036</v>
      </c>
      <c r="AF523" s="32" t="str">
        <f t="shared" si="448"/>
        <v>75,4669735059805</v>
      </c>
      <c r="AG523" s="32" t="str">
        <f t="shared" si="430"/>
        <v>1+1321,84684996021i</v>
      </c>
      <c r="AH523" s="32">
        <f t="shared" si="449"/>
        <v>1321.8472282188</v>
      </c>
      <c r="AI523" s="32">
        <f t="shared" si="450"/>
        <v>1.57003980964674</v>
      </c>
      <c r="AJ523" s="32" t="str">
        <f t="shared" si="431"/>
        <v>1+1,40996997329089i</v>
      </c>
      <c r="AK523" s="32">
        <f t="shared" si="451"/>
        <v>1.72858766789015</v>
      </c>
      <c r="AL523" s="32">
        <f t="shared" si="452"/>
        <v>0.953899254015778</v>
      </c>
      <c r="AM523" s="32" t="str">
        <f t="shared" si="432"/>
        <v>1-15,76394353256i</v>
      </c>
      <c r="AN523" s="32">
        <f t="shared" si="453"/>
        <v>15.7956296391673</v>
      </c>
      <c r="AO523" s="32">
        <f t="shared" si="454"/>
        <v>-1.50744530957809</v>
      </c>
      <c r="AP523" s="30" t="str">
        <f t="shared" si="455"/>
        <v>-0,8184944144452-1,32667885849601i</v>
      </c>
      <c r="AQ523" s="32">
        <f t="shared" si="456"/>
        <v>3.85608042953011</v>
      </c>
      <c r="AR523" s="31">
        <f t="shared" si="457"/>
        <v>-121.672507510117</v>
      </c>
      <c r="AS523" t="str">
        <f t="shared" si="433"/>
        <v>-0,000338461538461538</v>
      </c>
      <c r="AT523" t="str">
        <f t="shared" si="434"/>
        <v>1,23410441852232i</v>
      </c>
      <c r="AU523">
        <f t="shared" si="458"/>
        <v>1.23410441852232</v>
      </c>
      <c r="AV523">
        <f t="shared" si="459"/>
        <v>1.5707963267949</v>
      </c>
      <c r="AW523" t="str">
        <f t="shared" si="435"/>
        <v>1+200,290578490212i</v>
      </c>
      <c r="AX523">
        <f t="shared" si="460"/>
        <v>200.293074847694</v>
      </c>
      <c r="AY523">
        <f t="shared" si="461"/>
        <v>1.56580362220294</v>
      </c>
      <c r="AZ523" t="str">
        <f t="shared" si="436"/>
        <v>1+1748,3627668807i</v>
      </c>
      <c r="BA523">
        <f t="shared" si="462"/>
        <v>1748.36305286252</v>
      </c>
      <c r="BB523">
        <f t="shared" si="463"/>
        <v>1.57022436317848</v>
      </c>
      <c r="BC523" s="30" t="str">
        <f t="shared" si="464"/>
        <v>-0,000010583194015106+0,00239397085947781i</v>
      </c>
      <c r="BD523" s="32">
        <f t="shared" si="465"/>
        <v>-52.4175379323874</v>
      </c>
      <c r="BE523" s="31">
        <f t="shared" si="466"/>
        <v>90.2532898002188</v>
      </c>
      <c r="BF523" s="30" t="str">
        <f t="shared" si="467"/>
        <v>-0,000360297524396216-0,0000306399280821978i</v>
      </c>
      <c r="BG523" s="68">
        <f t="shared" si="468"/>
        <v>-68.8354796827184</v>
      </c>
      <c r="BH523" s="31">
        <f t="shared" si="469"/>
        <v>-175.139225919978</v>
      </c>
      <c r="BI523" s="30" t="str">
        <f t="shared" si="476"/>
        <v>0,00318469281231309-0,00194541127707196i</v>
      </c>
      <c r="BJ523" s="68">
        <f t="shared" si="470"/>
        <v>-48.5614575028573</v>
      </c>
      <c r="BK523" s="31">
        <f t="shared" si="477"/>
        <v>-31.4192177098977</v>
      </c>
      <c r="BL523" s="32">
        <f t="shared" si="471"/>
        <v>-68.8354796827184</v>
      </c>
      <c r="BM523" s="31">
        <f t="shared" si="472"/>
        <v>-175.139225919978</v>
      </c>
      <c r="BO523">
        <f t="shared" si="473"/>
        <v>0</v>
      </c>
      <c r="BP523">
        <f t="shared" si="474"/>
        <v>0</v>
      </c>
    </row>
    <row r="524" spans="14:68">
      <c r="N524" s="7">
        <v>6</v>
      </c>
      <c r="O524" s="18">
        <f t="shared" si="478"/>
        <v>1148153.62149688</v>
      </c>
      <c r="P524" s="86" t="str">
        <f t="shared" si="425"/>
        <v>15</v>
      </c>
      <c r="Q524" s="4" t="str">
        <f t="shared" si="426"/>
        <v>1+2104,10140645082i</v>
      </c>
      <c r="R524" s="4">
        <f t="shared" si="437"/>
        <v>2104.10164408194</v>
      </c>
      <c r="S524" s="4">
        <f t="shared" si="438"/>
        <v>1.57032106456578</v>
      </c>
      <c r="T524" s="4" t="str">
        <f t="shared" si="427"/>
        <v>1+1,44281239299485i</v>
      </c>
      <c r="U524" s="4">
        <f t="shared" si="439"/>
        <v>1.75547930816046</v>
      </c>
      <c r="V524" s="4">
        <f t="shared" si="440"/>
        <v>0.96472247437516</v>
      </c>
      <c r="W524" t="str">
        <f t="shared" si="428"/>
        <v>1-126,246084387049i</v>
      </c>
      <c r="X524" s="4">
        <f t="shared" si="441"/>
        <v>126.250044843802</v>
      </c>
      <c r="Y524" s="4">
        <f t="shared" si="442"/>
        <v>-1.5628754547032</v>
      </c>
      <c r="Z524" t="str">
        <f t="shared" si="429"/>
        <v>-8,37427014084561+6,69877182461893i</v>
      </c>
      <c r="AA524" s="4">
        <f t="shared" si="443"/>
        <v>10.7238959501744</v>
      </c>
      <c r="AB524" s="4">
        <f t="shared" si="444"/>
        <v>2.46689862570138</v>
      </c>
      <c r="AC524" s="67" t="str">
        <f t="shared" si="445"/>
        <v>-0,0113358082571225+0,14689598336729i</v>
      </c>
      <c r="AD524" s="68">
        <f t="shared" si="446"/>
        <v>-16.634015846797</v>
      </c>
      <c r="AE524" s="31">
        <f t="shared" si="447"/>
        <v>94.4127095046098</v>
      </c>
      <c r="AF524" s="32" t="str">
        <f t="shared" si="448"/>
        <v>75,4669735059805</v>
      </c>
      <c r="AG524" s="32" t="str">
        <f t="shared" si="430"/>
        <v>1+1352,63661843267i</v>
      </c>
      <c r="AH524" s="32">
        <f t="shared" si="449"/>
        <v>1352.63698808105</v>
      </c>
      <c r="AI524" s="32">
        <f t="shared" si="450"/>
        <v>1.57005703007308</v>
      </c>
      <c r="AJ524" s="32" t="str">
        <f t="shared" si="431"/>
        <v>1+1,44281239299485i</v>
      </c>
      <c r="AK524" s="32">
        <f t="shared" si="451"/>
        <v>1.75547930816046</v>
      </c>
      <c r="AL524" s="32">
        <f t="shared" si="452"/>
        <v>0.96472247437516</v>
      </c>
      <c r="AM524" s="32" t="str">
        <f t="shared" si="432"/>
        <v>1-16,1311329475781i</v>
      </c>
      <c r="AN524" s="32">
        <f t="shared" si="453"/>
        <v>16.1620991882998</v>
      </c>
      <c r="AO524" s="32">
        <f t="shared" si="454"/>
        <v>-1.5088836298219</v>
      </c>
      <c r="AP524" s="30" t="str">
        <f t="shared" si="455"/>
        <v>-0,81849637944882-1,35492324304468i</v>
      </c>
      <c r="AQ524" s="32">
        <f t="shared" si="456"/>
        <v>3.9893831405277</v>
      </c>
      <c r="AR524" s="31">
        <f t="shared" si="457"/>
        <v>-121.135779000093</v>
      </c>
      <c r="AS524" t="str">
        <f t="shared" si="433"/>
        <v>-0,000338461538461538</v>
      </c>
      <c r="AT524" t="str">
        <f t="shared" si="434"/>
        <v>1,2628504032166i</v>
      </c>
      <c r="AU524">
        <f t="shared" si="458"/>
        <v>1.2628504032166</v>
      </c>
      <c r="AV524">
        <f t="shared" si="459"/>
        <v>1.5707963267949</v>
      </c>
      <c r="AW524" t="str">
        <f t="shared" si="435"/>
        <v>1+204,955945388892i</v>
      </c>
      <c r="AX524">
        <f t="shared" si="460"/>
        <v>204.958384923024</v>
      </c>
      <c r="AY524">
        <f t="shared" si="461"/>
        <v>1.5659172682098</v>
      </c>
      <c r="AZ524" t="str">
        <f t="shared" si="436"/>
        <v>1+1789,08736731361i</v>
      </c>
      <c r="BA524">
        <f t="shared" si="462"/>
        <v>1789.08764678569</v>
      </c>
      <c r="BB524">
        <f t="shared" si="463"/>
        <v>1.57023738265716</v>
      </c>
      <c r="BC524" s="30" t="str">
        <f t="shared" si="464"/>
        <v>-0,0000101068831597138+0,0023394797537323i</v>
      </c>
      <c r="BD524" s="32">
        <f t="shared" si="465"/>
        <v>-52.6175331240016</v>
      </c>
      <c r="BE524" s="31">
        <f t="shared" si="466"/>
        <v>90.2475243248472</v>
      </c>
      <c r="BF524" s="30" t="str">
        <f t="shared" si="467"/>
        <v>-0,000343545609302796-0,000028004554450254i</v>
      </c>
      <c r="BG524" s="68">
        <f t="shared" si="468"/>
        <v>-69.2515489707986</v>
      </c>
      <c r="BH524" s="31">
        <f t="shared" si="469"/>
        <v>-175.339766170543</v>
      </c>
      <c r="BI524" s="30" t="str">
        <f t="shared" si="476"/>
        <v>0,00317808794223808-0,00190116165731587i</v>
      </c>
      <c r="BJ524" s="68">
        <f t="shared" si="470"/>
        <v>-48.6281499834739</v>
      </c>
      <c r="BK524" s="31">
        <f t="shared" si="477"/>
        <v>-30.8882546752453</v>
      </c>
      <c r="BL524" s="32">
        <f t="shared" si="471"/>
        <v>-69.2515489707986</v>
      </c>
      <c r="BM524" s="31">
        <f t="shared" si="472"/>
        <v>-175.339766170543</v>
      </c>
      <c r="BO524">
        <f t="shared" si="473"/>
        <v>0</v>
      </c>
      <c r="BP524">
        <f t="shared" si="474"/>
        <v>0</v>
      </c>
    </row>
    <row r="525" spans="14:68">
      <c r="N525" s="7">
        <v>7</v>
      </c>
      <c r="O525" s="18">
        <f t="shared" si="478"/>
        <v>1174897.55493953</v>
      </c>
      <c r="P525" s="86" t="str">
        <f t="shared" si="425"/>
        <v>15</v>
      </c>
      <c r="Q525" s="4" t="str">
        <f t="shared" si="426"/>
        <v>1+2153,11222426921i</v>
      </c>
      <c r="R525" s="4">
        <f t="shared" si="437"/>
        <v>2153.11245649119</v>
      </c>
      <c r="S525" s="4">
        <f t="shared" si="438"/>
        <v>1.57033188285332</v>
      </c>
      <c r="T525" s="4" t="str">
        <f t="shared" si="427"/>
        <v>1+1,47641981092746i</v>
      </c>
      <c r="U525" s="4">
        <f t="shared" si="439"/>
        <v>1.78320370628234</v>
      </c>
      <c r="V525" s="4">
        <f t="shared" si="440"/>
        <v>0.97545858102379</v>
      </c>
      <c r="W525" t="str">
        <f t="shared" si="428"/>
        <v>1-129,186733456153i</v>
      </c>
      <c r="X525" s="4">
        <f t="shared" si="441"/>
        <v>129.190603764636</v>
      </c>
      <c r="Y525" s="4">
        <f t="shared" si="442"/>
        <v>-1.56305574847866</v>
      </c>
      <c r="Z525" t="str">
        <f t="shared" si="429"/>
        <v>-8,81606588162061+6,85480626502032i</v>
      </c>
      <c r="AA525" s="4">
        <f t="shared" si="443"/>
        <v>11.1674252430915</v>
      </c>
      <c r="AB525" s="4">
        <f t="shared" si="444"/>
        <v>2.48070031370289</v>
      </c>
      <c r="AC525" s="67" t="str">
        <f t="shared" si="445"/>
        <v>-0,0105907852120172+0,143324659754417i</v>
      </c>
      <c r="AD525" s="68">
        <f t="shared" si="446"/>
        <v>-16.8499324466205</v>
      </c>
      <c r="AE525" s="31">
        <f t="shared" si="447"/>
        <v>94.2261147167117</v>
      </c>
      <c r="AF525" s="32" t="str">
        <f t="shared" si="448"/>
        <v>75,4669735059805</v>
      </c>
      <c r="AG525" s="32" t="str">
        <f t="shared" si="430"/>
        <v>1+1384,14357274449i</v>
      </c>
      <c r="AH525" s="32">
        <f t="shared" si="449"/>
        <v>1384.14393397865</v>
      </c>
      <c r="AI525" s="32">
        <f t="shared" si="450"/>
        <v>1.57007385851508</v>
      </c>
      <c r="AJ525" s="32" t="str">
        <f t="shared" si="431"/>
        <v>1+1,47641981092746i</v>
      </c>
      <c r="AK525" s="32">
        <f t="shared" si="451"/>
        <v>1.78320370628234</v>
      </c>
      <c r="AL525" s="32">
        <f t="shared" si="452"/>
        <v>0.97545858102379</v>
      </c>
      <c r="AM525" s="32" t="str">
        <f t="shared" si="432"/>
        <v>1-16,5068753028059i</v>
      </c>
      <c r="AN525" s="32">
        <f t="shared" si="453"/>
        <v>16.5371379707126</v>
      </c>
      <c r="AO525" s="32">
        <f t="shared" si="454"/>
        <v>-1.51028945778914</v>
      </c>
      <c r="AP525" s="30" t="str">
        <f t="shared" si="455"/>
        <v>-0,818498256012813-1,38388602570054i</v>
      </c>
      <c r="AQ525" s="32">
        <f t="shared" si="456"/>
        <v>4.12473975443985</v>
      </c>
      <c r="AR525" s="31">
        <f t="shared" si="457"/>
        <v>-120.602157608671</v>
      </c>
      <c r="AS525" t="str">
        <f t="shared" si="433"/>
        <v>-0,000338461538461538</v>
      </c>
      <c r="AT525" t="str">
        <f t="shared" si="434"/>
        <v>1,29226596791048i</v>
      </c>
      <c r="AU525">
        <f t="shared" si="458"/>
        <v>1.29226596791048</v>
      </c>
      <c r="AV525">
        <f t="shared" si="459"/>
        <v>1.5707963267949</v>
      </c>
      <c r="AW525" t="str">
        <f t="shared" si="435"/>
        <v>1+209,729982642731i</v>
      </c>
      <c r="AX525">
        <f t="shared" si="460"/>
        <v>209.732366646925</v>
      </c>
      <c r="AY525">
        <f t="shared" si="461"/>
        <v>1.56602832743949</v>
      </c>
      <c r="AZ525" t="str">
        <f t="shared" si="436"/>
        <v>1+1830,76056555005i</v>
      </c>
      <c r="BA525">
        <f t="shared" si="462"/>
        <v>1830.76083866057</v>
      </c>
      <c r="BB525">
        <f t="shared" si="463"/>
        <v>1.5702501057765</v>
      </c>
      <c r="BC525" s="30" t="str">
        <f t="shared" si="464"/>
        <v>-0,0000096520088264985+0,00228622886187669i</v>
      </c>
      <c r="BD525" s="32">
        <f t="shared" si="465"/>
        <v>-52.8175285320237</v>
      </c>
      <c r="BE525" s="31">
        <f t="shared" si="466"/>
        <v>90.2418900807505</v>
      </c>
      <c r="BF525" s="30" t="str">
        <f t="shared" si="467"/>
        <v>-0,000327570751396859-0,0000255963297026551i</v>
      </c>
      <c r="BG525" s="68">
        <f t="shared" si="468"/>
        <v>-69.6674609786443</v>
      </c>
      <c r="BH525" s="31">
        <f t="shared" si="469"/>
        <v>-175.531995202538</v>
      </c>
      <c r="BI525" s="30" t="str">
        <f t="shared" si="476"/>
        <v>0,00317178032589591-0,0018579170561573i</v>
      </c>
      <c r="BJ525" s="68">
        <f t="shared" si="470"/>
        <v>-48.6927887775839</v>
      </c>
      <c r="BK525" s="31">
        <f t="shared" si="477"/>
        <v>-30.3602675279201</v>
      </c>
      <c r="BL525" s="32">
        <f t="shared" si="471"/>
        <v>-69.6674609786443</v>
      </c>
      <c r="BM525" s="31">
        <f t="shared" si="472"/>
        <v>-175.531995202538</v>
      </c>
      <c r="BO525">
        <f t="shared" si="473"/>
        <v>0</v>
      </c>
      <c r="BP525">
        <f t="shared" si="474"/>
        <v>0</v>
      </c>
    </row>
    <row r="526" spans="14:68">
      <c r="N526" s="7">
        <v>8</v>
      </c>
      <c r="O526" s="18">
        <f t="shared" si="478"/>
        <v>1202264.43461742</v>
      </c>
      <c r="P526" s="86" t="str">
        <f t="shared" si="425"/>
        <v>15</v>
      </c>
      <c r="Q526" s="4" t="str">
        <f t="shared" si="426"/>
        <v>1+2203,26465068871i</v>
      </c>
      <c r="R526" s="4">
        <f t="shared" si="437"/>
        <v>2203.26487762467</v>
      </c>
      <c r="S526" s="4">
        <f t="shared" si="438"/>
        <v>1.57034245488667</v>
      </c>
      <c r="T526" s="4" t="str">
        <f t="shared" si="427"/>
        <v>1+1,51081004618654i</v>
      </c>
      <c r="U526" s="4">
        <f t="shared" si="439"/>
        <v>1.81178006271682</v>
      </c>
      <c r="V526" s="4">
        <f t="shared" si="440"/>
        <v>0.986103366515479</v>
      </c>
      <c r="W526" t="str">
        <f t="shared" si="428"/>
        <v>1-132,195879041323i</v>
      </c>
      <c r="X526" s="4">
        <f t="shared" si="441"/>
        <v>132.199661253379</v>
      </c>
      <c r="Y526" s="4">
        <f t="shared" si="442"/>
        <v>-1.56323193875302</v>
      </c>
      <c r="Z526" t="str">
        <f t="shared" si="429"/>
        <v>-9,2786828141934+7,01447521443751i</v>
      </c>
      <c r="AA526" s="4">
        <f t="shared" si="443"/>
        <v>11.6317160084128</v>
      </c>
      <c r="AB526" s="4">
        <f t="shared" si="444"/>
        <v>2.49427692358238</v>
      </c>
      <c r="AC526" s="67" t="str">
        <f t="shared" si="445"/>
        <v>-0,00989492114214478+0,139840212484956i</v>
      </c>
      <c r="AD526" s="68">
        <f t="shared" si="446"/>
        <v>-17.0656684795537</v>
      </c>
      <c r="AE526" s="31">
        <f t="shared" si="447"/>
        <v>94.0474328610133</v>
      </c>
      <c r="AF526" s="32" t="str">
        <f t="shared" si="448"/>
        <v>75,4669735059805</v>
      </c>
      <c r="AG526" s="32" t="str">
        <f t="shared" si="430"/>
        <v>1+1416,38441829989i</v>
      </c>
      <c r="AH526" s="32">
        <f t="shared" si="449"/>
        <v>1416.38477131135</v>
      </c>
      <c r="AI526" s="32">
        <f t="shared" si="450"/>
        <v>1.57009030389538</v>
      </c>
      <c r="AJ526" s="32" t="str">
        <f t="shared" si="431"/>
        <v>1+1,51081004618654i</v>
      </c>
      <c r="AK526" s="32">
        <f t="shared" si="451"/>
        <v>1.81178006271682</v>
      </c>
      <c r="AL526" s="32">
        <f t="shared" si="452"/>
        <v>0.986103366515479</v>
      </c>
      <c r="AM526" s="32" t="str">
        <f t="shared" si="432"/>
        <v>1-16,8913698218135i</v>
      </c>
      <c r="AN526" s="32">
        <f t="shared" si="453"/>
        <v>16.9209448452878</v>
      </c>
      <c r="AO526" s="32">
        <f t="shared" si="454"/>
        <v>-1.51166351662856</v>
      </c>
      <c r="AP526" s="30" t="str">
        <f t="shared" si="455"/>
        <v>-0,818500048117592-1,41358256292303i</v>
      </c>
      <c r="AQ526" s="32">
        <f t="shared" si="456"/>
        <v>4.26211542101458</v>
      </c>
      <c r="AR526" s="31">
        <f t="shared" si="457"/>
        <v>-120.07192634936</v>
      </c>
      <c r="AS526" t="str">
        <f t="shared" si="433"/>
        <v>-0,000338461538461538</v>
      </c>
      <c r="AT526" t="str">
        <f t="shared" si="434"/>
        <v>1,3223667091257i</v>
      </c>
      <c r="AU526">
        <f t="shared" si="458"/>
        <v>1.3223667091257</v>
      </c>
      <c r="AV526">
        <f t="shared" si="459"/>
        <v>1.5707963267949</v>
      </c>
      <c r="AW526" t="str">
        <f t="shared" si="435"/>
        <v>1+214,615221509471i</v>
      </c>
      <c r="AX526">
        <f t="shared" si="460"/>
        <v>214.6175512477</v>
      </c>
      <c r="AY526">
        <f t="shared" si="461"/>
        <v>1.56613685876614</v>
      </c>
      <c r="AZ526" t="str">
        <f t="shared" si="436"/>
        <v>1+1873,40445727131i</v>
      </c>
      <c r="BA526">
        <f t="shared" si="462"/>
        <v>1873.40472416507</v>
      </c>
      <c r="BB526">
        <f t="shared" si="463"/>
        <v>1.57026253928247</v>
      </c>
      <c r="BC526" s="30" t="str">
        <f t="shared" si="464"/>
        <v>-9,21760630081387E-06+0,00223418996354867i</v>
      </c>
      <c r="BD526" s="32">
        <f t="shared" si="465"/>
        <v>-53.0175241467143</v>
      </c>
      <c r="BE526" s="31">
        <f t="shared" si="466"/>
        <v>90.2363840812051</v>
      </c>
      <c r="BF526" s="30" t="str">
        <f t="shared" si="467"/>
        <v>-0,000312338391746936-0,0000233961255295939i</v>
      </c>
      <c r="BG526" s="68">
        <f t="shared" si="468"/>
        <v>-70.083192626268</v>
      </c>
      <c r="BH526" s="31">
        <f t="shared" si="469"/>
        <v>-175.716183057782</v>
      </c>
      <c r="BI526" s="30" t="str">
        <f t="shared" si="476"/>
        <v>0,00316575658593079-0,00181565474512971i</v>
      </c>
      <c r="BJ526" s="68">
        <f t="shared" si="470"/>
        <v>-48.7554087256997</v>
      </c>
      <c r="BK526" s="31">
        <f t="shared" si="477"/>
        <v>-29.8355422681545</v>
      </c>
      <c r="BL526" s="32">
        <f t="shared" si="471"/>
        <v>-70.083192626268</v>
      </c>
      <c r="BM526" s="31">
        <f t="shared" si="472"/>
        <v>-175.716183057782</v>
      </c>
      <c r="BO526">
        <f t="shared" si="473"/>
        <v>0</v>
      </c>
      <c r="BP526">
        <f t="shared" si="474"/>
        <v>0</v>
      </c>
    </row>
    <row r="527" spans="14:68">
      <c r="N527" s="7">
        <v>9</v>
      </c>
      <c r="O527" s="18">
        <f t="shared" si="478"/>
        <v>1230268.77081238</v>
      </c>
      <c r="P527" s="86" t="str">
        <f t="shared" si="425"/>
        <v>15</v>
      </c>
      <c r="Q527" s="4" t="str">
        <f t="shared" si="426"/>
        <v>1+2254,58527718966i</v>
      </c>
      <c r="R527" s="4">
        <f t="shared" si="437"/>
        <v>2254.58549895993</v>
      </c>
      <c r="S527" s="4">
        <f t="shared" si="438"/>
        <v>1.57035278627126</v>
      </c>
      <c r="T527" s="4" t="str">
        <f t="shared" si="427"/>
        <v>1+1,54600133293005i</v>
      </c>
      <c r="U527" s="4">
        <f t="shared" si="439"/>
        <v>1.84122788416358</v>
      </c>
      <c r="V527" s="4">
        <f t="shared" si="440"/>
        <v>0.996652825371943</v>
      </c>
      <c r="W527" t="str">
        <f t="shared" si="428"/>
        <v>1-135,275116631379i</v>
      </c>
      <c r="X527" s="4">
        <f t="shared" si="441"/>
        <v>135.278812752157</v>
      </c>
      <c r="Y527" s="4">
        <f t="shared" si="442"/>
        <v>-1.56340411890092</v>
      </c>
      <c r="Z527" t="str">
        <f t="shared" si="429"/>
        <v>-9,763102211102+7,17786333146093i</v>
      </c>
      <c r="AA527" s="4">
        <f t="shared" si="443"/>
        <v>12.1177508964971</v>
      </c>
      <c r="AB527" s="4">
        <f t="shared" si="444"/>
        <v>2.50762899234807</v>
      </c>
      <c r="AC527" s="67" t="str">
        <f t="shared" si="445"/>
        <v>-0,00924515541040842+0,13644107849765i</v>
      </c>
      <c r="AD527" s="68">
        <f t="shared" si="446"/>
        <v>-17.2812028869363</v>
      </c>
      <c r="AE527" s="31">
        <f t="shared" si="447"/>
        <v>93.876398001069</v>
      </c>
      <c r="AF527" s="32" t="str">
        <f t="shared" si="448"/>
        <v>75,4669735059805</v>
      </c>
      <c r="AG527" s="32" t="str">
        <f t="shared" si="430"/>
        <v>1+1449,37624962192i</v>
      </c>
      <c r="AH527" s="32">
        <f t="shared" si="449"/>
        <v>1449.37659459786</v>
      </c>
      <c r="AI527" s="32">
        <f t="shared" si="450"/>
        <v>1.57010637493348</v>
      </c>
      <c r="AJ527" s="32" t="str">
        <f t="shared" si="431"/>
        <v>1+1,54600133293005i</v>
      </c>
      <c r="AK527" s="32">
        <f t="shared" si="451"/>
        <v>1.84122788416358</v>
      </c>
      <c r="AL527" s="32">
        <f t="shared" si="452"/>
        <v>0.996652825371943</v>
      </c>
      <c r="AM527" s="32" t="str">
        <f t="shared" si="432"/>
        <v>1-17,2848203686844i</v>
      </c>
      <c r="AN527" s="32">
        <f t="shared" si="453"/>
        <v>17.313723319312</v>
      </c>
      <c r="AO527" s="32">
        <f t="shared" si="454"/>
        <v>-1.51300651411843</v>
      </c>
      <c r="AP527" s="30" t="str">
        <f t="shared" si="455"/>
        <v>-0,818501759564462-1,44402860021747i</v>
      </c>
      <c r="AQ527" s="32">
        <f t="shared" si="456"/>
        <v>4.40147412385286</v>
      </c>
      <c r="AR527" s="31">
        <f t="shared" si="457"/>
        <v>-119.545355771459</v>
      </c>
      <c r="AS527" t="str">
        <f t="shared" si="433"/>
        <v>-0,000338461538461538</v>
      </c>
      <c r="AT527" t="str">
        <f t="shared" si="434"/>
        <v>1,35316858667368i</v>
      </c>
      <c r="AU527">
        <f t="shared" si="458"/>
        <v>1.35316858667368</v>
      </c>
      <c r="AV527">
        <f t="shared" si="459"/>
        <v>1.5707963267949</v>
      </c>
      <c r="AW527" t="str">
        <f t="shared" si="435"/>
        <v>1+219,614252207423i</v>
      </c>
      <c r="AX527">
        <f t="shared" si="460"/>
        <v>219.616528914892</v>
      </c>
      <c r="AY527">
        <f t="shared" si="461"/>
        <v>1.56624291972424</v>
      </c>
      <c r="AZ527" t="str">
        <f t="shared" si="436"/>
        <v>1+1917,04165283326i</v>
      </c>
      <c r="BA527">
        <f t="shared" si="462"/>
        <v>1917.04191365178</v>
      </c>
      <c r="BB527">
        <f t="shared" si="463"/>
        <v>1.57027468976744</v>
      </c>
      <c r="BC527" s="30" t="str">
        <f t="shared" si="464"/>
        <v>-8,80275427960167E-06+0,00218333548006886i</v>
      </c>
      <c r="BD527" s="32">
        <f t="shared" si="465"/>
        <v>-53.2175199587719</v>
      </c>
      <c r="BE527" s="31">
        <f t="shared" si="466"/>
        <v>90.2310034074426</v>
      </c>
      <c r="BF527" s="30" t="str">
        <f t="shared" si="467"/>
        <v>-0,000297815264791425-0,0000213863331139539i</v>
      </c>
      <c r="BG527" s="68">
        <f t="shared" si="468"/>
        <v>-70.4987228457082</v>
      </c>
      <c r="BH527" s="31">
        <f t="shared" si="469"/>
        <v>-175.892598591488</v>
      </c>
      <c r="BI527" s="30" t="str">
        <f t="shared" si="476"/>
        <v>0,00316000394695584-0,00177435250321545i</v>
      </c>
      <c r="BJ527" s="68">
        <f t="shared" si="470"/>
        <v>-48.8160458349191</v>
      </c>
      <c r="BK527" s="31">
        <f t="shared" si="477"/>
        <v>-29.3143523640165</v>
      </c>
      <c r="BL527" s="32">
        <f t="shared" si="471"/>
        <v>-70.4987228457082</v>
      </c>
      <c r="BM527" s="31">
        <f t="shared" si="472"/>
        <v>-175.892598591488</v>
      </c>
      <c r="BO527">
        <f t="shared" si="473"/>
        <v>0</v>
      </c>
      <c r="BP527">
        <f t="shared" si="474"/>
        <v>0</v>
      </c>
    </row>
    <row r="528" spans="14:68">
      <c r="N528" s="7">
        <v>10</v>
      </c>
      <c r="O528" s="18">
        <f t="shared" si="478"/>
        <v>1258925.41179417</v>
      </c>
      <c r="P528" s="86" t="str">
        <f t="shared" si="425"/>
        <v>15</v>
      </c>
      <c r="Q528" s="4" t="str">
        <f t="shared" si="426"/>
        <v>1+2307,10131464753i</v>
      </c>
      <c r="R528" s="4">
        <f t="shared" si="437"/>
        <v>2307.10153136969</v>
      </c>
      <c r="S528" s="4">
        <f t="shared" si="438"/>
        <v>1.57036288248492</v>
      </c>
      <c r="T528" s="4" t="str">
        <f t="shared" si="427"/>
        <v>1+1,58201233004402i</v>
      </c>
      <c r="U528" s="4">
        <f t="shared" si="439"/>
        <v>1.87156699383466</v>
      </c>
      <c r="V528" s="4">
        <f t="shared" si="440"/>
        <v>1.00710315840239</v>
      </c>
      <c r="W528" t="str">
        <f t="shared" si="428"/>
        <v>1-138,426078878852i</v>
      </c>
      <c r="X528" s="4">
        <f t="shared" si="441"/>
        <v>138.42969086787</v>
      </c>
      <c r="Y528" s="4">
        <f t="shared" si="442"/>
        <v>-1.56357238017368</v>
      </c>
      <c r="Z528" t="str">
        <f t="shared" si="429"/>
        <v>-10,2703515908346+7,34505724663295i</v>
      </c>
      <c r="AA528" s="4">
        <f t="shared" si="443"/>
        <v>12.6265588247818</v>
      </c>
      <c r="AB528" s="4">
        <f t="shared" si="444"/>
        <v>2.52075723421656</v>
      </c>
      <c r="AC528" s="67" t="str">
        <f t="shared" si="445"/>
        <v>-0,00863858880015824+0,133125647507252i</v>
      </c>
      <c r="AD528" s="68">
        <f t="shared" si="446"/>
        <v>-17.4965165631981</v>
      </c>
      <c r="AE528" s="31">
        <f t="shared" si="447"/>
        <v>93.7127459955117</v>
      </c>
      <c r="AF528" s="32" t="str">
        <f t="shared" si="448"/>
        <v>75,4669735059805</v>
      </c>
      <c r="AG528" s="32" t="str">
        <f t="shared" si="430"/>
        <v>1+1483,13655941627i</v>
      </c>
      <c r="AH528" s="32">
        <f t="shared" si="449"/>
        <v>1483.13689653961</v>
      </c>
      <c r="AI528" s="32">
        <f t="shared" si="450"/>
        <v>1.57012208015044</v>
      </c>
      <c r="AJ528" s="32" t="str">
        <f t="shared" si="431"/>
        <v>1+1,58201233004402i</v>
      </c>
      <c r="AK528" s="32">
        <f t="shared" si="451"/>
        <v>1.87156699383466</v>
      </c>
      <c r="AL528" s="32">
        <f t="shared" si="452"/>
        <v>1.00710315840239</v>
      </c>
      <c r="AM528" s="32" t="str">
        <f t="shared" si="432"/>
        <v>1-17,6874355561064i</v>
      </c>
      <c r="AN528" s="32">
        <f t="shared" si="453"/>
        <v>17.7156816564144</v>
      </c>
      <c r="AO528" s="32">
        <f t="shared" si="454"/>
        <v>-1.51431914294454</v>
      </c>
      <c r="AP528" s="30" t="str">
        <f t="shared" si="455"/>
        <v>-0,818503393983594-1,47524028048339i</v>
      </c>
      <c r="AQ528" s="32">
        <f t="shared" si="456"/>
        <v>4.54277879179944</v>
      </c>
      <c r="AR528" s="31">
        <f t="shared" si="457"/>
        <v>-119.022703728759</v>
      </c>
      <c r="AS528" t="str">
        <f t="shared" si="433"/>
        <v>-0,000338461538461538</v>
      </c>
      <c r="AT528" t="str">
        <f t="shared" si="434"/>
        <v>1,38468793211763i</v>
      </c>
      <c r="AU528">
        <f t="shared" si="458"/>
        <v>1.38468793211763</v>
      </c>
      <c r="AV528">
        <f t="shared" si="459"/>
        <v>1.5707963267949</v>
      </c>
      <c r="AW528" t="str">
        <f t="shared" si="435"/>
        <v>1+224,729725288834i</v>
      </c>
      <c r="AX528">
        <f t="shared" si="460"/>
        <v>224.731950172633</v>
      </c>
      <c r="AY528">
        <f t="shared" si="461"/>
        <v>1.56634656653918</v>
      </c>
      <c r="AZ528" t="str">
        <f t="shared" si="436"/>
        <v>1+1961,69528925459i</v>
      </c>
      <c r="BA528">
        <f t="shared" si="462"/>
        <v>1961.69554413616</v>
      </c>
      <c r="BB528">
        <f t="shared" si="463"/>
        <v>1.57028656367375</v>
      </c>
      <c r="BC528" s="30" t="str">
        <f t="shared" si="464"/>
        <v>-0,0000084065729182277+0,00213363845988042i</v>
      </c>
      <c r="BD528" s="32">
        <f t="shared" si="465"/>
        <v>-53.4175159593142</v>
      </c>
      <c r="BE528" s="31">
        <f t="shared" si="466"/>
        <v>90.2257452071049</v>
      </c>
      <c r="BF528" s="30" t="str">
        <f t="shared" si="467"/>
        <v>-0,000283969380591298-0,0000195507557661659i</v>
      </c>
      <c r="BG528" s="68">
        <f t="shared" si="468"/>
        <v>-70.9140325225123</v>
      </c>
      <c r="BH528" s="31">
        <f t="shared" si="469"/>
        <v>-176.061508797383</v>
      </c>
      <c r="BI528" s="30" t="str">
        <f t="shared" si="476"/>
        <v>0,00315451020846948-0,00173398860595626i</v>
      </c>
      <c r="BJ528" s="68">
        <f t="shared" si="470"/>
        <v>-48.8747371675148</v>
      </c>
      <c r="BK528" s="31">
        <f t="shared" si="477"/>
        <v>-28.7969585216541</v>
      </c>
      <c r="BL528" s="32">
        <f t="shared" si="471"/>
        <v>-70.9140325225123</v>
      </c>
      <c r="BM528" s="31">
        <f t="shared" si="472"/>
        <v>-176.061508797383</v>
      </c>
      <c r="BO528">
        <f t="shared" si="473"/>
        <v>0</v>
      </c>
      <c r="BP528">
        <f t="shared" si="474"/>
        <v>0</v>
      </c>
    </row>
    <row r="529" spans="14:68">
      <c r="N529" s="7">
        <v>11</v>
      </c>
      <c r="O529" s="18">
        <f t="shared" si="478"/>
        <v>1288249.55169314</v>
      </c>
      <c r="P529" s="86" t="str">
        <f t="shared" si="425"/>
        <v>15</v>
      </c>
      <c r="Q529" s="4" t="str">
        <f t="shared" si="426"/>
        <v>1+2360,84060776054i</v>
      </c>
      <c r="R529" s="4">
        <f t="shared" si="437"/>
        <v>2360.8408195495</v>
      </c>
      <c r="S529" s="4">
        <f t="shared" si="438"/>
        <v>1.57037274888078</v>
      </c>
      <c r="T529" s="4" t="str">
        <f t="shared" si="427"/>
        <v>1+1,6188621310358i</v>
      </c>
      <c r="U529" s="4">
        <f t="shared" si="439"/>
        <v>1.90281754230451</v>
      </c>
      <c r="V529" s="4">
        <f t="shared" si="440"/>
        <v>1.01745077605159</v>
      </c>
      <c r="W529" t="str">
        <f t="shared" si="428"/>
        <v>1-141,650436465633i</v>
      </c>
      <c r="X529" s="4">
        <f t="shared" si="441"/>
        <v>141.653966237816</v>
      </c>
      <c r="Y529" s="4">
        <f t="shared" si="442"/>
        <v>-1.56373681174754</v>
      </c>
      <c r="Z529" t="str">
        <f t="shared" si="429"/>
        <v>-10,8015068973339+7,51614560838048i</v>
      </c>
      <c r="AA529" s="4">
        <f t="shared" si="443"/>
        <v>13.1592171522294</v>
      </c>
      <c r="AB529" s="4">
        <f t="shared" si="444"/>
        <v>2.53366253289348</v>
      </c>
      <c r="AC529" s="67" t="str">
        <f t="shared" si="445"/>
        <v>-0,0080724784958845+0,129892271262899i</v>
      </c>
      <c r="AD529" s="68">
        <f t="shared" si="446"/>
        <v>-17.7115922921928</v>
      </c>
      <c r="AE529" s="31">
        <f t="shared" si="447"/>
        <v>93.5562151292402</v>
      </c>
      <c r="AF529" s="32" t="str">
        <f t="shared" si="448"/>
        <v>75,4669735059805</v>
      </c>
      <c r="AG529" s="32" t="str">
        <f t="shared" si="430"/>
        <v>1+1517,68324784606i</v>
      </c>
      <c r="AH529" s="32">
        <f t="shared" si="449"/>
        <v>1517.68357729553</v>
      </c>
      <c r="AI529" s="32">
        <f t="shared" si="450"/>
        <v>1.57013742787333</v>
      </c>
      <c r="AJ529" s="32" t="str">
        <f t="shared" si="431"/>
        <v>1+1,6188621310358i</v>
      </c>
      <c r="AK529" s="32">
        <f t="shared" si="451"/>
        <v>1.90281754230451</v>
      </c>
      <c r="AL529" s="32">
        <f t="shared" si="452"/>
        <v>1.01745077605159</v>
      </c>
      <c r="AM529" s="32" t="str">
        <f t="shared" si="432"/>
        <v>1-18,0994288559811i</v>
      </c>
      <c r="AN529" s="32">
        <f t="shared" si="453"/>
        <v>18.1270329870258</v>
      </c>
      <c r="AO529" s="32">
        <f t="shared" si="454"/>
        <v>-1.5156020809766</v>
      </c>
      <c r="AP529" s="30" t="str">
        <f t="shared" si="455"/>
        <v>-0,818504954841813-1,50723415257391i</v>
      </c>
      <c r="AQ529" s="32">
        <f t="shared" si="456"/>
        <v>4.68599141073526</v>
      </c>
      <c r="AR529" s="31">
        <f t="shared" si="457"/>
        <v>-118.504215203806</v>
      </c>
      <c r="AS529" t="str">
        <f t="shared" si="433"/>
        <v>-0,000338461538461538</v>
      </c>
      <c r="AT529" t="str">
        <f t="shared" si="434"/>
        <v>1,41694145743171i</v>
      </c>
      <c r="AU529">
        <f t="shared" si="458"/>
        <v>1.41694145743171</v>
      </c>
      <c r="AV529">
        <f t="shared" si="459"/>
        <v>1.5707963267949</v>
      </c>
      <c r="AW529" t="str">
        <f t="shared" si="435"/>
        <v>1+229,964353045243i</v>
      </c>
      <c r="AX529">
        <f t="shared" si="460"/>
        <v>229.966527284988</v>
      </c>
      <c r="AY529">
        <f t="shared" si="461"/>
        <v>1.56644785415695</v>
      </c>
      <c r="AZ529" t="str">
        <f t="shared" si="436"/>
        <v>1+2007,38904248439i</v>
      </c>
      <c r="BA529">
        <f t="shared" si="462"/>
        <v>2007.38929156414</v>
      </c>
      <c r="BB529">
        <f t="shared" si="463"/>
        <v>1.5702981672971</v>
      </c>
      <c r="BC529" s="30" t="str">
        <f t="shared" si="464"/>
        <v>-8,02822196516542E-06+0,00208507256431711i</v>
      </c>
      <c r="BD529" s="32">
        <f t="shared" si="465"/>
        <v>-53.6175121398582</v>
      </c>
      <c r="BE529" s="31">
        <f t="shared" si="466"/>
        <v>90.2206066927346</v>
      </c>
      <c r="BF529" s="30" t="str">
        <f t="shared" si="467"/>
        <v>-0,000270770003477932-0,0000178745074230667i</v>
      </c>
      <c r="BG529" s="68">
        <f t="shared" si="468"/>
        <v>-71.329104432051</v>
      </c>
      <c r="BH529" s="31">
        <f t="shared" si="469"/>
        <v>-176.223178178025</v>
      </c>
      <c r="BI529" s="30" t="str">
        <f t="shared" si="476"/>
        <v>0,00314926371899067-0,00169454181476794i</v>
      </c>
      <c r="BJ529" s="68">
        <f t="shared" si="470"/>
        <v>-48.931520729123</v>
      </c>
      <c r="BK529" s="31">
        <f t="shared" si="477"/>
        <v>-28.2836085110712</v>
      </c>
      <c r="BL529" s="32">
        <f t="shared" si="471"/>
        <v>-71.329104432051</v>
      </c>
      <c r="BM529" s="31">
        <f t="shared" si="472"/>
        <v>-176.223178178025</v>
      </c>
      <c r="BO529">
        <f t="shared" si="473"/>
        <v>0</v>
      </c>
      <c r="BP529">
        <f t="shared" si="474"/>
        <v>0</v>
      </c>
    </row>
    <row r="530" spans="14:68">
      <c r="N530" s="7">
        <v>12</v>
      </c>
      <c r="O530" s="18">
        <f t="shared" si="478"/>
        <v>1318256.73855641</v>
      </c>
      <c r="P530" s="86" t="str">
        <f t="shared" si="425"/>
        <v>15</v>
      </c>
      <c r="Q530" s="4" t="str">
        <f t="shared" si="426"/>
        <v>1+2415,8316498132i</v>
      </c>
      <c r="R530" s="4">
        <f t="shared" si="437"/>
        <v>2415.83185678125</v>
      </c>
      <c r="S530" s="4">
        <f t="shared" si="438"/>
        <v>1.57038239069013</v>
      </c>
      <c r="T530" s="4" t="str">
        <f t="shared" si="427"/>
        <v>1+1,65657027415762i</v>
      </c>
      <c r="U530" s="4">
        <f t="shared" si="439"/>
        <v>1.93500001892058</v>
      </c>
      <c r="V530" s="4">
        <f t="shared" si="440"/>
        <v>1.02769230079848</v>
      </c>
      <c r="W530" t="str">
        <f t="shared" si="428"/>
        <v>1-144,949898988792i</v>
      </c>
      <c r="X530" s="4">
        <f t="shared" si="441"/>
        <v>144.953348415485</v>
      </c>
      <c r="Y530" s="4">
        <f t="shared" si="442"/>
        <v>-1.56389750077069</v>
      </c>
      <c r="Z530" t="str">
        <f t="shared" si="429"/>
        <v>-11,3576947822179+7,69121913001752i</v>
      </c>
      <c r="AA530" s="4">
        <f t="shared" si="443"/>
        <v>13.7168539567922</v>
      </c>
      <c r="AB530" s="4">
        <f t="shared" si="444"/>
        <v>2.5463459337182</v>
      </c>
      <c r="AC530" s="67" t="str">
        <f t="shared" si="445"/>
        <v>-0,00754423280949101+0,126739272085221i</v>
      </c>
      <c r="AD530" s="68">
        <f t="shared" si="446"/>
        <v>-17.9264146790753</v>
      </c>
      <c r="AE530" s="31">
        <f t="shared" si="447"/>
        <v>93.4065466980628</v>
      </c>
      <c r="AF530" s="32" t="str">
        <f t="shared" si="448"/>
        <v>75,4669735059805</v>
      </c>
      <c r="AG530" s="32" t="str">
        <f t="shared" si="430"/>
        <v>1+1553,03463202277i</v>
      </c>
      <c r="AH530" s="32">
        <f t="shared" si="449"/>
        <v>1553.03495397306</v>
      </c>
      <c r="AI530" s="32">
        <f t="shared" si="450"/>
        <v>1.5701524262397</v>
      </c>
      <c r="AJ530" s="32" t="str">
        <f t="shared" si="431"/>
        <v>1+1,65657027415762i</v>
      </c>
      <c r="AK530" s="32">
        <f t="shared" si="451"/>
        <v>1.93500001892058</v>
      </c>
      <c r="AL530" s="32">
        <f t="shared" si="452"/>
        <v>1.02769230079848</v>
      </c>
      <c r="AM530" s="32" t="str">
        <f t="shared" si="432"/>
        <v>1-18,5210187126095i</v>
      </c>
      <c r="AN530" s="32">
        <f t="shared" si="453"/>
        <v>18.547995421415</v>
      </c>
      <c r="AO530" s="32">
        <f t="shared" si="454"/>
        <v>-1.51685599154277</v>
      </c>
      <c r="AP530" s="30" t="str">
        <f t="shared" si="455"/>
        <v>-0,818506445449899-1,54002718007012i</v>
      </c>
      <c r="AQ530" s="32">
        <f t="shared" si="456"/>
        <v>4.83107313507988</v>
      </c>
      <c r="AR530" s="31">
        <f t="shared" si="457"/>
        <v>-117.990122186452</v>
      </c>
      <c r="AS530" t="str">
        <f t="shared" si="433"/>
        <v>-0,000338461538461538</v>
      </c>
      <c r="AT530" t="str">
        <f t="shared" si="434"/>
        <v>1,44994626386194i</v>
      </c>
      <c r="AU530">
        <f t="shared" si="458"/>
        <v>1.44994626386194</v>
      </c>
      <c r="AV530">
        <f t="shared" si="459"/>
        <v>1.5707963267949</v>
      </c>
      <c r="AW530" t="str">
        <f t="shared" si="435"/>
        <v>1+235,320910945575i</v>
      </c>
      <c r="AX530">
        <f t="shared" si="460"/>
        <v>235.323035694033</v>
      </c>
      <c r="AY530">
        <f t="shared" si="461"/>
        <v>1.56654683627327</v>
      </c>
      <c r="AZ530" t="str">
        <f t="shared" si="436"/>
        <v>1+2054,14713995545i</v>
      </c>
      <c r="BA530">
        <f t="shared" si="462"/>
        <v>2054.14738336546</v>
      </c>
      <c r="BB530">
        <f t="shared" si="463"/>
        <v>1.57030950678987</v>
      </c>
      <c r="BC530" s="30" t="str">
        <f t="shared" si="464"/>
        <v>-7,66689898057775E-06+0,0020376120536923i</v>
      </c>
      <c r="BD530" s="32">
        <f t="shared" si="465"/>
        <v>-53.8175084923028</v>
      </c>
      <c r="BE530" s="31">
        <f t="shared" si="466"/>
        <v>90.2155851402992</v>
      </c>
      <c r="BF530" s="30" t="str">
        <f t="shared" si="467"/>
        <v>-0,000258187627606198-0,0000163439169044292i</v>
      </c>
      <c r="BG530" s="68">
        <f t="shared" si="468"/>
        <v>-71.7439231713781</v>
      </c>
      <c r="BH530" s="31">
        <f t="shared" si="469"/>
        <v>-176.377868161638</v>
      </c>
      <c r="BI530" s="30" t="str">
        <f t="shared" si="476"/>
        <v>0,00314425335135686-0,00165599136645661i</v>
      </c>
      <c r="BJ530" s="68">
        <f t="shared" si="470"/>
        <v>-48.9864353572229</v>
      </c>
      <c r="BK530" s="31">
        <f t="shared" si="477"/>
        <v>-27.7745370461524</v>
      </c>
      <c r="BL530" s="32">
        <f t="shared" si="471"/>
        <v>-71.7439231713781</v>
      </c>
      <c r="BM530" s="31">
        <f t="shared" si="472"/>
        <v>-176.377868161638</v>
      </c>
      <c r="BO530">
        <f t="shared" si="473"/>
        <v>0</v>
      </c>
      <c r="BP530">
        <f t="shared" si="474"/>
        <v>0</v>
      </c>
    </row>
    <row r="531" spans="14:68">
      <c r="N531" s="7">
        <v>13</v>
      </c>
      <c r="O531" s="18">
        <f t="shared" si="478"/>
        <v>1348962.88259166</v>
      </c>
      <c r="P531" s="86" t="str">
        <f t="shared" ref="P531:P560" si="479">COMPLEX(Adc,0)</f>
        <v>15</v>
      </c>
      <c r="Q531" s="4" t="str">
        <f t="shared" ref="Q531:Q560" si="480">IMSUM(COMPLEX(1,0),IMDIV(COMPLEX(0,2*PI()*O531),COMPLEX(wp_lf,0)))</f>
        <v>1+2472,1035977839i</v>
      </c>
      <c r="R531" s="4">
        <f t="shared" si="437"/>
        <v>2472.10380004079</v>
      </c>
      <c r="S531" s="4">
        <f t="shared" si="438"/>
        <v>1.57039181302519</v>
      </c>
      <c r="T531" s="4" t="str">
        <f t="shared" ref="T531:T560" si="481">IMSUM(COMPLEX(1,0),IMDIV(COMPLEX(0,2*PI()*O531),COMPLEX(wz_esr,0)))</f>
        <v>1+1,6951567527661i</v>
      </c>
      <c r="U531" s="4">
        <f t="shared" si="439"/>
        <v>1.96813526375819</v>
      </c>
      <c r="V531" s="4">
        <f t="shared" si="440"/>
        <v>1.03782456863402</v>
      </c>
      <c r="W531" t="str">
        <f t="shared" ref="W531:W560" si="482">IMSUB(COMPLEX(1,0),IMDIV(COMPLEX(0,2*PI()*O531),COMPLEX(wz_rhp,0)))</f>
        <v>1-148,326215867034i</v>
      </c>
      <c r="X531" s="4">
        <f t="shared" si="441"/>
        <v>148.329586776995</v>
      </c>
      <c r="Y531" s="4">
        <f t="shared" si="442"/>
        <v>-1.56405453240938</v>
      </c>
      <c r="Z531" t="str">
        <f t="shared" ref="Z531:Z560" si="483">IMSUM(COMPLEX(1,0),IMDIV(COMPLEX(0,2*PI()*O531),COMPLEX(Q*(wsl/2),0)),IMDIV(IMPOWER(COMPLEX(0,2*PI()*O531),2),IMPOWER(COMPLEX(wsl/2,0),2)))</f>
        <v>-11,94009499456+7,87037063784259i</v>
      </c>
      <c r="AA531" s="4">
        <f t="shared" si="443"/>
        <v>14.3006504207372</v>
      </c>
      <c r="AB531" s="4">
        <f t="shared" si="444"/>
        <v>2.55880863571537</v>
      </c>
      <c r="AC531" s="67" t="str">
        <f t="shared" si="445"/>
        <v>-0,00705140571199376+0,123664950703696i</v>
      </c>
      <c r="AD531" s="68">
        <f t="shared" si="446"/>
        <v>-18.1409700784295</v>
      </c>
      <c r="AE531" s="31">
        <f t="shared" si="447"/>
        <v>93.2634855459902</v>
      </c>
      <c r="AF531" s="32" t="str">
        <f t="shared" si="448"/>
        <v>75,4669735059805</v>
      </c>
      <c r="AG531" s="32" t="str">
        <f t="shared" ref="AG531:AG560" si="484">IMSUM(COMPLEX(1,0),IMDIV(COMPLEX(0,2*PI()*O531),COMPLEX(wp_lf_DCM,0)))</f>
        <v>1+1589,20945571822i</v>
      </c>
      <c r="AH531" s="32">
        <f t="shared" si="449"/>
        <v>1589.20977034003</v>
      </c>
      <c r="AI531" s="32">
        <f t="shared" si="450"/>
        <v>1.57016708320185</v>
      </c>
      <c r="AJ531" s="32" t="str">
        <f t="shared" ref="AJ531:AJ560" si="485">IMSUM(COMPLEX(1,0),IMDIV(COMPLEX(0,2*PI()*O531),COMPLEX(wz1_dcm,0)))</f>
        <v>1+1,6951567527661i</v>
      </c>
      <c r="AK531" s="32">
        <f t="shared" si="451"/>
        <v>1.96813526375819</v>
      </c>
      <c r="AL531" s="32">
        <f t="shared" si="452"/>
        <v>1.03782456863402</v>
      </c>
      <c r="AM531" s="32" t="str">
        <f t="shared" ref="AM531:AM560" si="486">IMSUB(COMPLEX(1,0),IMDIV(COMPLEX(0,2*PI()*O531),COMPLEX(wz2_dcm,0)))</f>
        <v>1-18,952428658514i</v>
      </c>
      <c r="AN531" s="32">
        <f t="shared" si="453"/>
        <v>18.9787921653635</v>
      </c>
      <c r="AO531" s="32">
        <f t="shared" si="454"/>
        <v>-1.51808152370199</v>
      </c>
      <c r="AP531" s="30" t="str">
        <f t="shared" si="455"/>
        <v>-0,818507868969629-1,57363675027546i</v>
      </c>
      <c r="AQ531" s="32">
        <f t="shared" si="456"/>
        <v>4.97798439835693</v>
      </c>
      <c r="AR531" s="31">
        <f t="shared" si="457"/>
        <v>-117.480643605031</v>
      </c>
      <c r="AS531" t="str">
        <f t="shared" ref="AS531:AS560" si="487">COMPLEX(Adc_ea,0)</f>
        <v>-0,000338461538461538</v>
      </c>
      <c r="AT531" t="str">
        <f t="shared" ref="AT531:AT560" si="488">COMPLEX(0,2*PI()*O531*wp0_ea)</f>
        <v>1,48371985099359i</v>
      </c>
      <c r="AU531">
        <f t="shared" si="458"/>
        <v>1.48371985099359</v>
      </c>
      <c r="AV531">
        <f t="shared" si="459"/>
        <v>1.5707963267949</v>
      </c>
      <c r="AW531" t="str">
        <f t="shared" ref="AW531:AW560" si="489">IMSUM(COMPLEX(1,0),IMDIV(COMPLEX(0,2*PI()*O531),COMPLEX(wp1_ea,0)))</f>
        <v>1+240,80223910773i</v>
      </c>
      <c r="AX531">
        <f t="shared" si="460"/>
        <v>240.80431549143</v>
      </c>
      <c r="AY531">
        <f t="shared" si="461"/>
        <v>1.56664356536202</v>
      </c>
      <c r="AZ531" t="str">
        <f t="shared" ref="AZ531:AZ560" si="490">IMSUM(COMPLEX(1,0),IMDIV(COMPLEX(0,2*PI()*O531),COMPLEX(wz_ea,0)))</f>
        <v>1+2101,99437342997i</v>
      </c>
      <c r="BA531">
        <f t="shared" si="462"/>
        <v>2101.99461129929</v>
      </c>
      <c r="BB531">
        <f t="shared" si="463"/>
        <v>1.57032058816439</v>
      </c>
      <c r="BC531" s="30" t="str">
        <f t="shared" si="464"/>
        <v>-7,32183763502592E-06+0,00199123177370201i</v>
      </c>
      <c r="BD531" s="32">
        <f t="shared" si="465"/>
        <v>-54.0175050089116</v>
      </c>
      <c r="BE531" s="31">
        <f t="shared" si="466"/>
        <v>90.2106778877491</v>
      </c>
      <c r="BF531" s="30" t="str">
        <f t="shared" si="467"/>
        <v>-0,00024619394988677-0,0000149464377931818i</v>
      </c>
      <c r="BG531" s="68">
        <f t="shared" si="468"/>
        <v>-72.1584750873411</v>
      </c>
      <c r="BH531" s="31">
        <f t="shared" si="469"/>
        <v>-176.525836566261</v>
      </c>
      <c r="BI531" s="30" t="str">
        <f t="shared" si="476"/>
        <v>0,00313946847913326-0,00161831696293542i</v>
      </c>
      <c r="BJ531" s="68">
        <f t="shared" si="470"/>
        <v>-49.0395206105546</v>
      </c>
      <c r="BK531" s="31">
        <f t="shared" si="477"/>
        <v>-27.2699657172824</v>
      </c>
      <c r="BL531" s="32">
        <f t="shared" si="471"/>
        <v>-72.1584750873411</v>
      </c>
      <c r="BM531" s="31">
        <f t="shared" si="472"/>
        <v>-176.525836566261</v>
      </c>
      <c r="BO531">
        <f t="shared" si="473"/>
        <v>0</v>
      </c>
      <c r="BP531">
        <f t="shared" si="474"/>
        <v>0</v>
      </c>
    </row>
    <row r="532" spans="14:68">
      <c r="N532" s="7">
        <v>14</v>
      </c>
      <c r="O532" s="18">
        <f t="shared" si="478"/>
        <v>1380384.26460288</v>
      </c>
      <c r="P532" s="86" t="str">
        <f t="shared" si="479"/>
        <v>15</v>
      </c>
      <c r="Q532" s="4" t="str">
        <f t="shared" si="480"/>
        <v>1+2529,6862878043i</v>
      </c>
      <c r="R532" s="4">
        <f t="shared" ref="R532:R560" si="491">IMABS(Q532)</f>
        <v>2529.68648545726</v>
      </c>
      <c r="S532" s="4">
        <f t="shared" ref="S532:S560" si="492">IMARGUMENT(Q532)</f>
        <v>1.57040102088178</v>
      </c>
      <c r="T532" s="4" t="str">
        <f t="shared" si="481"/>
        <v>1+1,73464202592295i</v>
      </c>
      <c r="U532" s="4">
        <f t="shared" ref="U532:U560" si="493">IMABS(T532)</f>
        <v>2.00224448010179</v>
      </c>
      <c r="V532" s="4">
        <f t="shared" ref="V532:V560" si="494">IMARGUMENT(T532)</f>
        <v>1.04784462965296</v>
      </c>
      <c r="W532" t="str">
        <f t="shared" si="482"/>
        <v>1-151,781177268258i</v>
      </c>
      <c r="X532" s="4">
        <f t="shared" ref="X532:X560" si="495">IMABS(W532)</f>
        <v>151.784471448625</v>
      </c>
      <c r="Y532" s="4">
        <f t="shared" ref="Y532:Y560" si="496">IMARGUMENT(W532)</f>
        <v>-1.56420798989286</v>
      </c>
      <c r="Z532" t="str">
        <f t="shared" si="483"/>
        <v>-12,5499428832942+8,05369512035652i</v>
      </c>
      <c r="AA532" s="4">
        <f t="shared" ref="AA532:AA560" si="497">IMABS(Z532)</f>
        <v>14.911843328898</v>
      </c>
      <c r="AB532" s="4">
        <f t="shared" ref="AB532:AB560" si="498">IMARGUMENT(Z532)</f>
        <v>2.57105198359371</v>
      </c>
      <c r="AC532" s="67" t="str">
        <f t="shared" ref="AC532:AC560" si="499">(IMDIV(IMPRODUCT(P532,T532,W532),IMPRODUCT(Q532,Z532)))</f>
        <v>-0,00659169122550946+0,120667593419019i</v>
      </c>
      <c r="AD532" s="68">
        <f t="shared" ref="AD532:AD560" si="500">20*LOG(IMABS(AC532))</f>
        <v>-18.355246519338</v>
      </c>
      <c r="AE532" s="31">
        <f t="shared" ref="AE532:AE560" si="501">(180/PI())*IMARGUMENT(AC532)</f>
        <v>93.1267805548406</v>
      </c>
      <c r="AF532" s="32" t="str">
        <f t="shared" ref="AF532:AF560" si="502">COMPLEX($B$68,0)</f>
        <v>75,4669735059805</v>
      </c>
      <c r="AG532" s="32" t="str">
        <f t="shared" si="484"/>
        <v>1+1626,22689930276i</v>
      </c>
      <c r="AH532" s="32">
        <f t="shared" ref="AH532:AH560" si="503">IMABS(AG532)</f>
        <v>1626.2272067629</v>
      </c>
      <c r="AI532" s="32">
        <f t="shared" ref="AI532:AI560" si="504">IMARGUMENT(AG532)</f>
        <v>1.57018140653107</v>
      </c>
      <c r="AJ532" s="32" t="str">
        <f t="shared" si="485"/>
        <v>1+1,73464202592295i</v>
      </c>
      <c r="AK532" s="32">
        <f t="shared" ref="AK532:AK560" si="505">IMABS(AJ532)</f>
        <v>2.00224448010179</v>
      </c>
      <c r="AL532" s="32">
        <f t="shared" ref="AL532:AL560" si="506">IMARGUMENT(AJ532)</f>
        <v>1.04784462965296</v>
      </c>
      <c r="AM532" s="32" t="str">
        <f t="shared" si="486"/>
        <v>1-19,3938874329583i</v>
      </c>
      <c r="AN532" s="32">
        <f t="shared" ref="AN532:AN560" si="507">IMABS(AM532)</f>
        <v>19.4196516385402</v>
      </c>
      <c r="AO532" s="32">
        <f t="shared" ref="AO532:AO560" si="508">IMARGUMENT(AM532)</f>
        <v>-1.51927931251398</v>
      </c>
      <c r="AP532" s="30" t="str">
        <f t="shared" ref="AP532:AP560" si="509">(IMDIV(IMPRODUCT(AF532,AJ532,AM532),IMPRODUCT(AG532)))</f>
        <v>-0,818509228420464-1,6080806834347i</v>
      </c>
      <c r="AQ532" s="32">
        <f t="shared" ref="AQ532:AQ560" si="510">20*LOG(IMABS(AP532))</f>
        <v>5.12668502221541</v>
      </c>
      <c r="AR532" s="31">
        <f t="shared" ref="AR532:AR560" si="511">(180/PI())*IMARGUMENT(AP532)</f>
        <v>-116.97598530817</v>
      </c>
      <c r="AS532" t="str">
        <f t="shared" si="487"/>
        <v>-0,000338461538461538</v>
      </c>
      <c r="AT532" t="str">
        <f t="shared" si="488"/>
        <v>1,51828012602958i</v>
      </c>
      <c r="AU532">
        <f t="shared" ref="AU532:AU560" si="512">IMABS(AT532)</f>
        <v>1.51828012602958</v>
      </c>
      <c r="AV532">
        <f t="shared" ref="AV532:AV560" si="513">IMARGUMENT(AT532)</f>
        <v>1.5707963267949</v>
      </c>
      <c r="AW532" t="str">
        <f t="shared" si="489"/>
        <v>1+246,411243804454i</v>
      </c>
      <c r="AX532">
        <f t="shared" ref="AX532:AX560" si="514">IMABS(AW532)</f>
        <v>246.413272924285</v>
      </c>
      <c r="AY532">
        <f t="shared" ref="AY532:AY560" si="515">IMARGUMENT(AW532)</f>
        <v>1.56673809270298</v>
      </c>
      <c r="AZ532" t="str">
        <f t="shared" si="490"/>
        <v>1+2150,95611214445i</v>
      </c>
      <c r="BA532">
        <f t="shared" ref="BA532:BA560" si="516">IMABS(AZ532)</f>
        <v>2150.9563445992</v>
      </c>
      <c r="BB532">
        <f t="shared" ref="BB532:BB560" si="517">IMARGUMENT(AZ532)</f>
        <v>1.57033141729614</v>
      </c>
      <c r="BC532" s="30" t="str">
        <f t="shared" ref="BC532:BC560" si="518">IMPRODUCT(AS532,IMDIV(AZ532,IMPRODUCT(AT532,AW532)))</f>
        <v>-6,99230608470415E-06+0,00194590714213498i</v>
      </c>
      <c r="BD532" s="32">
        <f t="shared" ref="BD532:BD560" si="519">20*LOG(IMABS(BC532))</f>
        <v>-54.217501682296</v>
      </c>
      <c r="BE532" s="31">
        <f t="shared" ref="BE532:BE560" si="520">(180/PI())*IMARGUMENT(BC532)</f>
        <v>90.2058823336085</v>
      </c>
      <c r="BF532" s="30" t="str">
        <f t="shared" ref="BF532:BF560" si="521">IMPRODUCT(AC532,BC532)</f>
        <v>-0,000234761840735644-0,0000136705637821577i</v>
      </c>
      <c r="BG532" s="68">
        <f t="shared" ref="BG532:BG560" si="522">20*LOG(IMABS(BF532))</f>
        <v>-72.5727482016341</v>
      </c>
      <c r="BH532" s="31">
        <f t="shared" ref="BH532:BH560" si="523">(180/PI())*IMARGUMENT(BF532)</f>
        <v>-176.667337111551</v>
      </c>
      <c r="BI532" s="30" t="str">
        <f t="shared" si="476"/>
        <v>0,00313489895408315-0,0015814987611393i</v>
      </c>
      <c r="BJ532" s="68">
        <f t="shared" ref="BJ532:BJ560" si="524">20*LOG(IMABS(BI532))</f>
        <v>-49.0908166600806</v>
      </c>
      <c r="BK532" s="31">
        <f t="shared" si="477"/>
        <v>-26.7701029745618</v>
      </c>
      <c r="BL532" s="32">
        <f t="shared" ref="BL532:BL560" si="525">IF($B$31=0,BJ532,BG532)</f>
        <v>-72.5727482016341</v>
      </c>
      <c r="BM532" s="31">
        <f t="shared" ref="BM532:BM560" si="526">IF($B$31=0,BK532,BH532)</f>
        <v>-176.667337111551</v>
      </c>
      <c r="BO532">
        <f t="shared" ref="BO532:BO559" si="527">SUM((BL533&lt;0)*(BL532&gt;0))*O532</f>
        <v>0</v>
      </c>
      <c r="BP532">
        <f t="shared" ref="BP532:BP559" si="528">IF(BO532&gt;0,BM532,0)</f>
        <v>0</v>
      </c>
    </row>
    <row r="533" spans="14:68">
      <c r="N533" s="7">
        <v>15</v>
      </c>
      <c r="O533" s="18">
        <f t="shared" si="478"/>
        <v>1412537.54462276</v>
      </c>
      <c r="P533" s="86" t="str">
        <f t="shared" si="479"/>
        <v>15</v>
      </c>
      <c r="Q533" s="4" t="str">
        <f t="shared" si="480"/>
        <v>1+2588,61025097886i</v>
      </c>
      <c r="R533" s="4">
        <f t="shared" si="491"/>
        <v>2588.61044413269</v>
      </c>
      <c r="S533" s="4">
        <f t="shared" si="492"/>
        <v>1.57041001914202</v>
      </c>
      <c r="T533" s="4" t="str">
        <f t="shared" si="481"/>
        <v>1+1,77504702924265i</v>
      </c>
      <c r="U533" s="4">
        <f t="shared" si="493"/>
        <v>2.0373492474348</v>
      </c>
      <c r="V533" s="4">
        <f t="shared" si="494"/>
        <v>1.05774974779919</v>
      </c>
      <c r="W533" t="str">
        <f t="shared" si="482"/>
        <v>1-155,316615058732i</v>
      </c>
      <c r="X533" s="4">
        <f t="shared" si="495"/>
        <v>155.319834255971</v>
      </c>
      <c r="Y533" s="4">
        <f t="shared" si="496"/>
        <v>-1.5643579545574</v>
      </c>
      <c r="Z533" t="str">
        <f t="shared" si="483"/>
        <v>-13,1885320175566+8,24128977862655i</v>
      </c>
      <c r="AA533" s="4">
        <f t="shared" si="497"/>
        <v>15.5517276851612</v>
      </c>
      <c r="AB533" s="4">
        <f t="shared" si="498"/>
        <v>2.58307745973043</v>
      </c>
      <c r="AC533" s="67" t="str">
        <f t="shared" si="499"/>
        <v>-0,00616291772539588+0,117745478617878i</v>
      </c>
      <c r="AD533" s="68">
        <f t="shared" si="500"/>
        <v>-18.5692336280621</v>
      </c>
      <c r="AE533" s="31">
        <f t="shared" si="501"/>
        <v>92.9961850862389</v>
      </c>
      <c r="AF533" s="32" t="str">
        <f t="shared" si="502"/>
        <v>75,4669735059805</v>
      </c>
      <c r="AG533" s="32" t="str">
        <f t="shared" si="484"/>
        <v>1+1664,10658991498i</v>
      </c>
      <c r="AH533" s="32">
        <f t="shared" si="503"/>
        <v>1664.10689037648</v>
      </c>
      <c r="AI533" s="32">
        <f t="shared" si="504"/>
        <v>1.57019540382176</v>
      </c>
      <c r="AJ533" s="32" t="str">
        <f t="shared" si="485"/>
        <v>1+1,77504702924265i</v>
      </c>
      <c r="AK533" s="32">
        <f t="shared" si="505"/>
        <v>2.0373492474348</v>
      </c>
      <c r="AL533" s="32">
        <f t="shared" si="506"/>
        <v>1.05774974779919</v>
      </c>
      <c r="AM533" s="32" t="str">
        <f t="shared" si="486"/>
        <v>1-19,8456291032281i</v>
      </c>
      <c r="AN533" s="32">
        <f t="shared" si="507"/>
        <v>19.8708075956387</v>
      </c>
      <c r="AO533" s="32">
        <f t="shared" si="508"/>
        <v>-1.5204499793067</v>
      </c>
      <c r="AP533" s="30" t="str">
        <f t="shared" si="509"/>
        <v>-0,818510526685984-1,64337724218249i</v>
      </c>
      <c r="AQ533" s="32">
        <f t="shared" si="510"/>
        <v>5.27713432334869</v>
      </c>
      <c r="AR533" s="31">
        <f t="shared" si="511"/>
        <v>-116.476340094933</v>
      </c>
      <c r="AS533" t="str">
        <f t="shared" si="487"/>
        <v>-0,000338461538461538</v>
      </c>
      <c r="AT533" t="str">
        <f t="shared" si="488"/>
        <v>1,55364541328521i</v>
      </c>
      <c r="AU533">
        <f t="shared" si="512"/>
        <v>1.55364541328521</v>
      </c>
      <c r="AV533">
        <f t="shared" si="513"/>
        <v>1.5707963267949</v>
      </c>
      <c r="AW533" t="str">
        <f t="shared" si="489"/>
        <v>1+252,150899004282i</v>
      </c>
      <c r="AX533">
        <f t="shared" si="514"/>
        <v>252.152881936074</v>
      </c>
      <c r="AY533">
        <f t="shared" si="515"/>
        <v>1.56683046840904</v>
      </c>
      <c r="AZ533" t="str">
        <f t="shared" si="490"/>
        <v>1+2201,05831626088i</v>
      </c>
      <c r="BA533">
        <f t="shared" si="516"/>
        <v>2201.05854342432</v>
      </c>
      <c r="BB533">
        <f t="shared" si="517"/>
        <v>1.57034199992686</v>
      </c>
      <c r="BC533" s="30" t="str">
        <f t="shared" si="518"/>
        <v>-6,67760541975931E-06+0,00190161413588287i</v>
      </c>
      <c r="BD533" s="32">
        <f t="shared" si="519"/>
        <v>-54.4174985054004</v>
      </c>
      <c r="BE533" s="31">
        <f t="shared" si="520"/>
        <v>90.2011959355981</v>
      </c>
      <c r="BF533" s="30" t="str">
        <f t="shared" si="521"/>
        <v>-0,000223865313043246-0,0000125057493110668i</v>
      </c>
      <c r="BG533" s="68">
        <f t="shared" si="522"/>
        <v>-72.9867321334625</v>
      </c>
      <c r="BH533" s="31">
        <f t="shared" si="523"/>
        <v>-176.802618978163</v>
      </c>
      <c r="BI533" s="30" t="str">
        <f t="shared" si="476"/>
        <v>0,00313053508465156-0,00154551736313589i</v>
      </c>
      <c r="BJ533" s="68">
        <f t="shared" si="524"/>
        <v>-49.1403641820517</v>
      </c>
      <c r="BK533" s="31">
        <f t="shared" si="477"/>
        <v>-26.2751441593353</v>
      </c>
      <c r="BL533" s="32">
        <f t="shared" si="525"/>
        <v>-72.9867321334625</v>
      </c>
      <c r="BM533" s="31">
        <f t="shared" si="526"/>
        <v>-176.802618978163</v>
      </c>
      <c r="BO533">
        <f t="shared" si="527"/>
        <v>0</v>
      </c>
      <c r="BP533">
        <f t="shared" si="528"/>
        <v>0</v>
      </c>
    </row>
    <row r="534" spans="14:68">
      <c r="N534" s="7">
        <v>16</v>
      </c>
      <c r="O534" s="18">
        <f t="shared" si="478"/>
        <v>1445439.77074593</v>
      </c>
      <c r="P534" s="86" t="str">
        <f t="shared" si="479"/>
        <v>15</v>
      </c>
      <c r="Q534" s="4" t="str">
        <f t="shared" si="480"/>
        <v>1+2648,90672957279i</v>
      </c>
      <c r="R534" s="4">
        <f t="shared" si="491"/>
        <v>2648.9069183299</v>
      </c>
      <c r="S534" s="4">
        <f t="shared" si="492"/>
        <v>1.57041881257692</v>
      </c>
      <c r="T534" s="4" t="str">
        <f t="shared" si="481"/>
        <v>1+1,81639318599277i</v>
      </c>
      <c r="U534" s="4">
        <f t="shared" si="493"/>
        <v>2.07347153491939</v>
      </c>
      <c r="V534" s="4">
        <f t="shared" si="494"/>
        <v>1.06753739980889</v>
      </c>
      <c r="W534" t="str">
        <f t="shared" si="482"/>
        <v>1-158,934403774368i</v>
      </c>
      <c r="X534" s="4">
        <f t="shared" si="495"/>
        <v>158.937549695199</v>
      </c>
      <c r="Y534" s="4">
        <f t="shared" si="496"/>
        <v>-1.56450450588924</v>
      </c>
      <c r="Z534" t="str">
        <f t="shared" si="483"/>
        <v>-13,8572169305177+8,43325407782356i</v>
      </c>
      <c r="AA534" s="4">
        <f t="shared" si="497"/>
        <v>16.2216594527365</v>
      </c>
      <c r="AB534" s="4">
        <f t="shared" si="498"/>
        <v>2.59488667617661</v>
      </c>
      <c r="AC534" s="67" t="str">
        <f t="shared" si="499"/>
        <v>-0,00576304219756159+0,114896882669571i</v>
      </c>
      <c r="AD534" s="68">
        <f t="shared" si="500"/>
        <v>-18.7829225489718</v>
      </c>
      <c r="AE534" s="31">
        <f t="shared" si="501"/>
        <v>92.8714573765112</v>
      </c>
      <c r="AF534" s="32" t="str">
        <f t="shared" si="502"/>
        <v>75,4669735059805</v>
      </c>
      <c r="AG534" s="32" t="str">
        <f t="shared" si="484"/>
        <v>1+1702,86861186822i</v>
      </c>
      <c r="AH534" s="32">
        <f t="shared" si="503"/>
        <v>1702.86890549038</v>
      </c>
      <c r="AI534" s="32">
        <f t="shared" si="504"/>
        <v>1.57020908249544</v>
      </c>
      <c r="AJ534" s="32" t="str">
        <f t="shared" si="485"/>
        <v>1+1,81639318599277i</v>
      </c>
      <c r="AK534" s="32">
        <f t="shared" si="505"/>
        <v>2.07347153491939</v>
      </c>
      <c r="AL534" s="32">
        <f t="shared" si="506"/>
        <v>1.06753739980889</v>
      </c>
      <c r="AM534" s="32" t="str">
        <f t="shared" si="486"/>
        <v>1-20,3078931887363i</v>
      </c>
      <c r="AN534" s="32">
        <f t="shared" si="507"/>
        <v>20.3324992503411</v>
      </c>
      <c r="AO534" s="32">
        <f t="shared" si="508"/>
        <v>-1.52159413194107</v>
      </c>
      <c r="AP534" s="30" t="str">
        <f t="shared" si="509"/>
        <v>-0,818511766519963-1,6795451412265i</v>
      </c>
      <c r="AQ534" s="32">
        <f t="shared" si="510"/>
        <v>5.42929121780164</v>
      </c>
      <c r="AR534" s="31">
        <f t="shared" si="511"/>
        <v>-115.981887790774</v>
      </c>
      <c r="AS534" t="str">
        <f t="shared" si="487"/>
        <v>-0,000338461538461538</v>
      </c>
      <c r="AT534" t="str">
        <f t="shared" si="488"/>
        <v>1,58983446390389i</v>
      </c>
      <c r="AU534">
        <f t="shared" si="512"/>
        <v>1.58983446390389</v>
      </c>
      <c r="AV534">
        <f t="shared" si="513"/>
        <v>1.5707963267949</v>
      </c>
      <c r="AW534" t="str">
        <f t="shared" si="489"/>
        <v>1+258,024247948375i</v>
      </c>
      <c r="AX534">
        <f t="shared" si="514"/>
        <v>258.026185743472</v>
      </c>
      <c r="AY534">
        <f t="shared" si="515"/>
        <v>1.56692074145272</v>
      </c>
      <c r="AZ534" t="str">
        <f t="shared" si="490"/>
        <v>1+2252,32755063104i</v>
      </c>
      <c r="BA534">
        <f t="shared" si="516"/>
        <v>2252.32777262361</v>
      </c>
      <c r="BB534">
        <f t="shared" si="517"/>
        <v>1.57035234166759</v>
      </c>
      <c r="BC534" s="30" t="str">
        <f t="shared" si="518"/>
        <v>-6,37706818240982E-06+0,00185832927824401i</v>
      </c>
      <c r="BD534" s="32">
        <f t="shared" si="519"/>
        <v>-54.6174954714864</v>
      </c>
      <c r="BE534" s="31">
        <f t="shared" si="520"/>
        <v>90.1966162092884</v>
      </c>
      <c r="BF534" s="30" t="str">
        <f t="shared" si="521"/>
        <v>-0,000213479489730799-0,0000114423353022146i</v>
      </c>
      <c r="BG534" s="68">
        <f t="shared" si="522"/>
        <v>-73.4004180204582</v>
      </c>
      <c r="BH534" s="31">
        <f t="shared" si="523"/>
        <v>-176.9319264142</v>
      </c>
      <c r="BI534" s="30" t="str">
        <f t="shared" si="476"/>
        <v>0,00312636761541688-0,00151035380643024i</v>
      </c>
      <c r="BJ534" s="68">
        <f t="shared" si="524"/>
        <v>-49.1882042536847</v>
      </c>
      <c r="BK534" s="31">
        <f t="shared" si="477"/>
        <v>-25.7852715814858</v>
      </c>
      <c r="BL534" s="32">
        <f t="shared" si="525"/>
        <v>-73.4004180204582</v>
      </c>
      <c r="BM534" s="31">
        <f t="shared" si="526"/>
        <v>-176.9319264142</v>
      </c>
      <c r="BO534">
        <f t="shared" si="527"/>
        <v>0</v>
      </c>
      <c r="BP534">
        <f t="shared" si="528"/>
        <v>0</v>
      </c>
    </row>
    <row r="535" spans="14:68">
      <c r="N535" s="7">
        <v>17</v>
      </c>
      <c r="O535" s="18">
        <f t="shared" si="478"/>
        <v>1479108.38816821</v>
      </c>
      <c r="P535" s="86" t="str">
        <f t="shared" si="479"/>
        <v>15</v>
      </c>
      <c r="Q535" s="4" t="str">
        <f t="shared" si="480"/>
        <v>1+2710,60769357717i</v>
      </c>
      <c r="R535" s="4">
        <f t="shared" si="491"/>
        <v>2710.60787803765</v>
      </c>
      <c r="S535" s="4">
        <f t="shared" si="492"/>
        <v>1.57042740584887</v>
      </c>
      <c r="T535" s="4" t="str">
        <f t="shared" si="481"/>
        <v>1+1,85870241845291i</v>
      </c>
      <c r="U535" s="4">
        <f t="shared" si="493"/>
        <v>2.11063371534776</v>
      </c>
      <c r="V535" s="4">
        <f t="shared" si="494"/>
        <v>1.07720527339944</v>
      </c>
      <c r="W535" t="str">
        <f t="shared" si="482"/>
        <v>1-162,63646161463i</v>
      </c>
      <c r="X535" s="4">
        <f t="shared" si="495"/>
        <v>162.63953592693</v>
      </c>
      <c r="Y535" s="4">
        <f t="shared" si="496"/>
        <v>-1.56464772156666</v>
      </c>
      <c r="Z535" t="str">
        <f t="shared" si="483"/>
        <v>-14,5574159925303+8,62968979995993i</v>
      </c>
      <c r="AA535" s="4">
        <f t="shared" si="497"/>
        <v>16.9230584240293</v>
      </c>
      <c r="AB535" s="4">
        <f t="shared" si="498"/>
        <v>2.60648136671676</v>
      </c>
      <c r="AC535" s="67" t="str">
        <f t="shared" si="499"/>
        <v>-0,00539014449116356+0,112120085235392i</v>
      </c>
      <c r="AD535" s="68">
        <f t="shared" si="500"/>
        <v>-18.996305864338</v>
      </c>
      <c r="AE535" s="31">
        <f t="shared" si="501"/>
        <v>92.7523608853148</v>
      </c>
      <c r="AF535" s="32" t="str">
        <f t="shared" si="502"/>
        <v>75,4669735059805</v>
      </c>
      <c r="AG535" s="32" t="str">
        <f t="shared" si="484"/>
        <v>1+1742,53351729961i</v>
      </c>
      <c r="AH535" s="32">
        <f t="shared" si="503"/>
        <v>1742.53380423811</v>
      </c>
      <c r="AI535" s="32">
        <f t="shared" si="504"/>
        <v>1.5702224498047</v>
      </c>
      <c r="AJ535" s="32" t="str">
        <f t="shared" si="485"/>
        <v>1+1,85870241845291i</v>
      </c>
      <c r="AK535" s="32">
        <f t="shared" si="505"/>
        <v>2.11063371534776</v>
      </c>
      <c r="AL535" s="32">
        <f t="shared" si="506"/>
        <v>1.07720527339944</v>
      </c>
      <c r="AM535" s="32" t="str">
        <f t="shared" si="486"/>
        <v>1-20,7809247880199i</v>
      </c>
      <c r="AN535" s="32">
        <f t="shared" si="507"/>
        <v>20.8049714021755</v>
      </c>
      <c r="AO535" s="32">
        <f t="shared" si="508"/>
        <v>-1.52271236507282</v>
      </c>
      <c r="AP535" s="30" t="str">
        <f t="shared" si="509"/>
        <v>-0,818512950552259-1,71660355727024i</v>
      </c>
      <c r="AQ535" s="32">
        <f t="shared" si="510"/>
        <v>5.58311432220897</v>
      </c>
      <c r="AR535" s="31">
        <f t="shared" si="511"/>
        <v>-115.492795366534</v>
      </c>
      <c r="AS535" t="str">
        <f t="shared" si="487"/>
        <v>-0,000338461538461538</v>
      </c>
      <c r="AT535" t="str">
        <f t="shared" si="488"/>
        <v>1,62686646579928i</v>
      </c>
      <c r="AU535">
        <f t="shared" si="512"/>
        <v>1.62686646579928</v>
      </c>
      <c r="AV535">
        <f t="shared" si="513"/>
        <v>1.5707963267949</v>
      </c>
      <c r="AW535" t="str">
        <f t="shared" si="489"/>
        <v>1+264,034404764083i</v>
      </c>
      <c r="AX535">
        <f t="shared" si="514"/>
        <v>264.036298449898</v>
      </c>
      <c r="AY535">
        <f t="shared" si="515"/>
        <v>1.56700895969209</v>
      </c>
      <c r="AZ535" t="str">
        <f t="shared" si="490"/>
        <v>1+2304,79099888161i</v>
      </c>
      <c r="BA535">
        <f t="shared" si="516"/>
        <v>2304.79121582101</v>
      </c>
      <c r="BB535">
        <f t="shared" si="517"/>
        <v>1.57036244800166</v>
      </c>
      <c r="BC535" s="30" t="str">
        <f t="shared" si="518"/>
        <v>-6,09005695172599E-06+0,00181602962651408i</v>
      </c>
      <c r="BD535" s="32">
        <f t="shared" si="519"/>
        <v>-54.817492574119</v>
      </c>
      <c r="BE535" s="31">
        <f t="shared" si="520"/>
        <v>90.1921407267849</v>
      </c>
      <c r="BF535" s="30" t="str">
        <f t="shared" si="521"/>
        <v>-0,000203580570227827-0,0000104714797916606i</v>
      </c>
      <c r="BG535" s="68">
        <f t="shared" si="522"/>
        <v>-73.813798438457</v>
      </c>
      <c r="BH535" s="31">
        <f t="shared" si="523"/>
        <v>-177.0554983879</v>
      </c>
      <c r="BI535" s="30" t="str">
        <f t="shared" si="476"/>
        <v>0,0031223877074668-0,00147598955446105i</v>
      </c>
      <c r="BJ535" s="68">
        <f t="shared" si="524"/>
        <v>-49.2343782519101</v>
      </c>
      <c r="BK535" s="31">
        <f t="shared" si="477"/>
        <v>-25.3006546397497</v>
      </c>
      <c r="BL535" s="32">
        <f t="shared" si="525"/>
        <v>-73.813798438457</v>
      </c>
      <c r="BM535" s="31">
        <f t="shared" si="526"/>
        <v>-177.0554983879</v>
      </c>
      <c r="BO535">
        <f t="shared" si="527"/>
        <v>0</v>
      </c>
      <c r="BP535">
        <f t="shared" si="528"/>
        <v>0</v>
      </c>
    </row>
    <row r="536" spans="14:68">
      <c r="N536" s="7">
        <v>18</v>
      </c>
      <c r="O536" s="18">
        <f t="shared" si="478"/>
        <v>1513561.24843621</v>
      </c>
      <c r="P536" s="86" t="str">
        <f t="shared" si="479"/>
        <v>15</v>
      </c>
      <c r="Q536" s="4" t="str">
        <f t="shared" si="480"/>
        <v>1+2773,74585765981i</v>
      </c>
      <c r="R536" s="4">
        <f t="shared" si="491"/>
        <v>2773.74603792145</v>
      </c>
      <c r="S536" s="4">
        <f t="shared" si="492"/>
        <v>1.57043580351411</v>
      </c>
      <c r="T536" s="4" t="str">
        <f t="shared" si="481"/>
        <v>1+1,90199715953816i</v>
      </c>
      <c r="U536" s="4">
        <f t="shared" si="493"/>
        <v>2.14885857954665</v>
      </c>
      <c r="V536" s="4">
        <f t="shared" si="494"/>
        <v>1.08675126475461</v>
      </c>
      <c r="W536" t="str">
        <f t="shared" si="482"/>
        <v>1-166,424751459589i</v>
      </c>
      <c r="X536" s="4">
        <f t="shared" si="495"/>
        <v>166.427755793275</v>
      </c>
      <c r="Y536" s="4">
        <f t="shared" si="496"/>
        <v>-1.56478767750097</v>
      </c>
      <c r="Z536" t="str">
        <f t="shared" si="483"/>
        <v>-15,2906144196821+8,83070109785571i</v>
      </c>
      <c r="AA536" s="4">
        <f t="shared" si="497"/>
        <v>17.6574112261979</v>
      </c>
      <c r="AB536" s="4">
        <f t="shared" si="498"/>
        <v>2.61786337901256</v>
      </c>
      <c r="AC536" s="67" t="str">
        <f t="shared" si="499"/>
        <v>-0,00504242160238238+0,109413374022772i</v>
      </c>
      <c r="AD536" s="68">
        <f t="shared" si="500"/>
        <v>-19.2093775135545</v>
      </c>
      <c r="AE536" s="31">
        <f t="shared" si="501"/>
        <v>92.6386645991888</v>
      </c>
      <c r="AF536" s="32" t="str">
        <f t="shared" si="502"/>
        <v>75,4669735059805</v>
      </c>
      <c r="AG536" s="32" t="str">
        <f t="shared" si="484"/>
        <v>1+1783,12233706702i</v>
      </c>
      <c r="AH536" s="32">
        <f t="shared" si="503"/>
        <v>1783.12261747401</v>
      </c>
      <c r="AI536" s="32">
        <f t="shared" si="504"/>
        <v>1.57023551283706</v>
      </c>
      <c r="AJ536" s="32" t="str">
        <f t="shared" si="485"/>
        <v>1+1,90199715953816i</v>
      </c>
      <c r="AK536" s="32">
        <f t="shared" si="505"/>
        <v>2.14885857954665</v>
      </c>
      <c r="AL536" s="32">
        <f t="shared" si="506"/>
        <v>1.08675126475461</v>
      </c>
      <c r="AM536" s="32" t="str">
        <f t="shared" si="486"/>
        <v>1-21,2649747086942i</v>
      </c>
      <c r="AN536" s="32">
        <f t="shared" si="507"/>
        <v>21.2884745663329</v>
      </c>
      <c r="AO536" s="32">
        <f t="shared" si="508"/>
        <v>-1.52380526041127</v>
      </c>
      <c r="AP536" s="30" t="str">
        <f t="shared" si="509"/>
        <v>-0,818514081294363-1,75457213918082i</v>
      </c>
      <c r="AQ536" s="32">
        <f t="shared" si="510"/>
        <v>5.73856205155988</v>
      </c>
      <c r="AR536" s="31">
        <f t="shared" si="511"/>
        <v>-115.009217097579</v>
      </c>
      <c r="AS536" t="str">
        <f t="shared" si="487"/>
        <v>-0,000338461538461538</v>
      </c>
      <c r="AT536" t="str">
        <f t="shared" si="488"/>
        <v>1,66476105382896i</v>
      </c>
      <c r="AU536">
        <f t="shared" si="512"/>
        <v>1.66476105382896</v>
      </c>
      <c r="AV536">
        <f t="shared" si="513"/>
        <v>1.5707963267949</v>
      </c>
      <c r="AW536" t="str">
        <f t="shared" si="489"/>
        <v>1+270,184556116107i</v>
      </c>
      <c r="AX536">
        <f t="shared" si="514"/>
        <v>270.186406696669</v>
      </c>
      <c r="AY536">
        <f t="shared" si="515"/>
        <v>1.56709516989613</v>
      </c>
      <c r="AZ536" t="str">
        <f t="shared" si="490"/>
        <v>1+2358,47647782732i</v>
      </c>
      <c r="BA536">
        <f t="shared" si="516"/>
        <v>2358.47668982858</v>
      </c>
      <c r="BB536">
        <f t="shared" si="517"/>
        <v>1.57037232428757</v>
      </c>
      <c r="BC536" s="30" t="str">
        <f t="shared" si="518"/>
        <v>-5,81596299207409E-06+0,00177469275985742i</v>
      </c>
      <c r="BD536" s="32">
        <f t="shared" si="519"/>
        <v>-55.0174898071528</v>
      </c>
      <c r="BE536" s="31">
        <f t="shared" si="520"/>
        <v>90.187767115442</v>
      </c>
      <c r="BF536" s="30" t="str">
        <f t="shared" si="521"/>
        <v>-0,000194145796172355-9,58509324405106E-06i</v>
      </c>
      <c r="BG536" s="68">
        <f t="shared" si="522"/>
        <v>-74.2268673207073</v>
      </c>
      <c r="BH536" s="31">
        <f t="shared" si="523"/>
        <v>-177.173568285369</v>
      </c>
      <c r="BI536" s="30" t="str">
        <f t="shared" si="476"/>
        <v>0,00311858691965705-0,00144240648728605i</v>
      </c>
      <c r="BJ536" s="68">
        <f t="shared" si="524"/>
        <v>-49.2789277555929</v>
      </c>
      <c r="BK536" s="31">
        <f t="shared" si="477"/>
        <v>-24.8214499821374</v>
      </c>
      <c r="BL536" s="32">
        <f t="shared" si="525"/>
        <v>-74.2268673207073</v>
      </c>
      <c r="BM536" s="31">
        <f t="shared" si="526"/>
        <v>-177.173568285369</v>
      </c>
      <c r="BO536">
        <f t="shared" si="527"/>
        <v>0</v>
      </c>
      <c r="BP536">
        <f t="shared" si="528"/>
        <v>0</v>
      </c>
    </row>
    <row r="537" spans="14:68">
      <c r="N537" s="7">
        <v>19</v>
      </c>
      <c r="O537" s="18">
        <f t="shared" si="478"/>
        <v>1548816.61891249</v>
      </c>
      <c r="P537" s="86" t="str">
        <f t="shared" si="479"/>
        <v>15</v>
      </c>
      <c r="Q537" s="4" t="str">
        <f t="shared" si="480"/>
        <v>1+2838,35469851106i</v>
      </c>
      <c r="R537" s="4">
        <f t="shared" si="491"/>
        <v>2838.35487466945</v>
      </c>
      <c r="S537" s="4">
        <f t="shared" si="492"/>
        <v>1.5704440100252</v>
      </c>
      <c r="T537" s="4" t="str">
        <f t="shared" si="481"/>
        <v>1+1,9463003646933i</v>
      </c>
      <c r="U537" s="4">
        <f t="shared" si="493"/>
        <v>2.18816935121696</v>
      </c>
      <c r="V537" s="4">
        <f t="shared" si="494"/>
        <v>1.09617347535911</v>
      </c>
      <c r="W537" t="str">
        <f t="shared" si="482"/>
        <v>1-170,301281910664i</v>
      </c>
      <c r="X537" s="4">
        <f t="shared" si="495"/>
        <v>170.304217858559</v>
      </c>
      <c r="Y537" s="4">
        <f t="shared" si="496"/>
        <v>-1.56492444787674</v>
      </c>
      <c r="Z537" t="str">
        <f t="shared" si="483"/>
        <v>-16,0583674241388+9,03639455036172i</v>
      </c>
      <c r="AA537" s="4">
        <f t="shared" si="497"/>
        <v>18.4262744687701</v>
      </c>
      <c r="AB537" s="4">
        <f t="shared" si="498"/>
        <v>2.6290346668584</v>
      </c>
      <c r="AC537" s="67" t="str">
        <f t="shared" si="499"/>
        <v>-0,0047181820205498+0,106775049016746i</v>
      </c>
      <c r="AD537" s="68">
        <f t="shared" si="500"/>
        <v>-19.4221327123243</v>
      </c>
      <c r="AE537" s="31">
        <f t="shared" si="501"/>
        <v>92.5301432914731</v>
      </c>
      <c r="AF537" s="32" t="str">
        <f t="shared" si="502"/>
        <v>75,4669735059805</v>
      </c>
      <c r="AG537" s="32" t="str">
        <f t="shared" si="484"/>
        <v>1+1824,65659189997i</v>
      </c>
      <c r="AH537" s="32">
        <f t="shared" si="503"/>
        <v>1824.65686592412</v>
      </c>
      <c r="AI537" s="32">
        <f t="shared" si="504"/>
        <v>1.57024827851868</v>
      </c>
      <c r="AJ537" s="32" t="str">
        <f t="shared" si="485"/>
        <v>1+1,9463003646933i</v>
      </c>
      <c r="AK537" s="32">
        <f t="shared" si="505"/>
        <v>2.18816935121696</v>
      </c>
      <c r="AL537" s="32">
        <f t="shared" si="506"/>
        <v>1.09617347535911</v>
      </c>
      <c r="AM537" s="32" t="str">
        <f t="shared" si="486"/>
        <v>1-21,7602996004342i</v>
      </c>
      <c r="AN537" s="32">
        <f t="shared" si="507"/>
        <v>21.7832651065137</v>
      </c>
      <c r="AO537" s="32">
        <f t="shared" si="508"/>
        <v>-1.52487338697506</v>
      </c>
      <c r="AP537" s="30" t="str">
        <f t="shared" si="509"/>
        <v>-0,818515161144717-1,79347101840698i</v>
      </c>
      <c r="AQ537" s="32">
        <f t="shared" si="510"/>
        <v>5.89559271313788</v>
      </c>
      <c r="AR537" s="31">
        <f t="shared" si="511"/>
        <v>-114.531294760029</v>
      </c>
      <c r="AS537" t="str">
        <f t="shared" si="487"/>
        <v>-0,000338461538461538</v>
      </c>
      <c r="AT537" t="str">
        <f t="shared" si="488"/>
        <v>1,7035383202051i</v>
      </c>
      <c r="AU537">
        <f t="shared" si="512"/>
        <v>1.7035383202051</v>
      </c>
      <c r="AV537">
        <f t="shared" si="513"/>
        <v>1.5707963267949</v>
      </c>
      <c r="AW537" t="str">
        <f t="shared" si="489"/>
        <v>1+276,477962896099i</v>
      </c>
      <c r="AX537">
        <f t="shared" si="514"/>
        <v>276.479771352583</v>
      </c>
      <c r="AY537">
        <f t="shared" si="515"/>
        <v>1.56717941776951</v>
      </c>
      <c r="AZ537" t="str">
        <f t="shared" si="490"/>
        <v>1+2413,41245221969i</v>
      </c>
      <c r="BA537">
        <f t="shared" si="516"/>
        <v>2413.41265939521</v>
      </c>
      <c r="BB537">
        <f t="shared" si="517"/>
        <v>1.57038197576184</v>
      </c>
      <c r="BC537" s="30" t="str">
        <f t="shared" si="518"/>
        <v>-5,55420496236228E-06+0,00173429676745257i</v>
      </c>
      <c r="BD537" s="32">
        <f t="shared" si="519"/>
        <v>-55.2174871647189</v>
      </c>
      <c r="BE537" s="31">
        <f t="shared" si="520"/>
        <v>90.1834930566063</v>
      </c>
      <c r="BF537" s="30" t="str">
        <f t="shared" si="521"/>
        <v>-0,00018515341660434-8,77577833359764E-06i</v>
      </c>
      <c r="BG537" s="68">
        <f t="shared" si="522"/>
        <v>-74.6396198770433</v>
      </c>
      <c r="BH537" s="31">
        <f t="shared" si="523"/>
        <v>-177.286363651921</v>
      </c>
      <c r="BI537" s="30" t="str">
        <f t="shared" si="476"/>
        <v>0,00311495719071289-0,00140958689245391i</v>
      </c>
      <c r="BJ537" s="68">
        <f t="shared" si="524"/>
        <v>-49.321894451581</v>
      </c>
      <c r="BK537" s="31">
        <f t="shared" si="477"/>
        <v>-24.3478017034226</v>
      </c>
      <c r="BL537" s="32">
        <f t="shared" si="525"/>
        <v>-74.6396198770433</v>
      </c>
      <c r="BM537" s="31">
        <f t="shared" si="526"/>
        <v>-177.286363651921</v>
      </c>
      <c r="BO537">
        <f t="shared" si="527"/>
        <v>0</v>
      </c>
      <c r="BP537">
        <f t="shared" si="528"/>
        <v>0</v>
      </c>
    </row>
    <row r="538" spans="14:68">
      <c r="N538" s="7">
        <v>20</v>
      </c>
      <c r="O538" s="18">
        <f t="shared" si="478"/>
        <v>1584893.19246112</v>
      </c>
      <c r="P538" s="86" t="str">
        <f t="shared" si="479"/>
        <v>15</v>
      </c>
      <c r="Q538" s="4" t="str">
        <f t="shared" si="480"/>
        <v>1+2904,46847259352i</v>
      </c>
      <c r="R538" s="4">
        <f t="shared" si="491"/>
        <v>2904.46864474205</v>
      </c>
      <c r="S538" s="4">
        <f t="shared" si="492"/>
        <v>1.57045202973334</v>
      </c>
      <c r="T538" s="4" t="str">
        <f t="shared" si="481"/>
        <v>1+1,99163552406413i</v>
      </c>
      <c r="U538" s="4">
        <f t="shared" si="493"/>
        <v>2.22858970219155</v>
      </c>
      <c r="V538" s="4">
        <f t="shared" si="494"/>
        <v>1.10547020823687</v>
      </c>
      <c r="W538" t="str">
        <f t="shared" si="482"/>
        <v>1-174,268108355611i</v>
      </c>
      <c r="X538" s="4">
        <f t="shared" si="495"/>
        <v>174.270977474286</v>
      </c>
      <c r="Y538" s="4">
        <f t="shared" si="496"/>
        <v>-1.56505810519094</v>
      </c>
      <c r="Z538" t="str">
        <f t="shared" si="483"/>
        <v>-16,8623035129571+9,24687921886913i</v>
      </c>
      <c r="AA538" s="4">
        <f t="shared" si="497"/>
        <v>19.231278039991</v>
      </c>
      <c r="AB538" s="4">
        <f t="shared" si="498"/>
        <v>2.63999728257336</v>
      </c>
      <c r="AC538" s="67" t="str">
        <f t="shared" si="499"/>
        <v>-0,00441584016380648+0,104203426221553i</v>
      </c>
      <c r="AD538" s="68">
        <f t="shared" si="500"/>
        <v>-19.6345678722962</v>
      </c>
      <c r="AE538" s="31">
        <f t="shared" si="501"/>
        <v>92.4265777403041</v>
      </c>
      <c r="AF538" s="32" t="str">
        <f t="shared" si="502"/>
        <v>75,4669735059805</v>
      </c>
      <c r="AG538" s="32" t="str">
        <f t="shared" si="484"/>
        <v>1+1867,15830381012i</v>
      </c>
      <c r="AH538" s="32">
        <f t="shared" si="503"/>
        <v>1867.15857159672</v>
      </c>
      <c r="AI538" s="32">
        <f t="shared" si="504"/>
        <v>1.57026075361808</v>
      </c>
      <c r="AJ538" s="32" t="str">
        <f t="shared" si="485"/>
        <v>1+1,99163552406413i</v>
      </c>
      <c r="AK538" s="32">
        <f t="shared" si="505"/>
        <v>2.22858970219155</v>
      </c>
      <c r="AL538" s="32">
        <f t="shared" si="506"/>
        <v>1.10547020823687</v>
      </c>
      <c r="AM538" s="32" t="str">
        <f t="shared" si="486"/>
        <v>1-22,267162091054i</v>
      </c>
      <c r="AN538" s="32">
        <f t="shared" si="507"/>
        <v>22.2896053708735</v>
      </c>
      <c r="AO538" s="32">
        <f t="shared" si="508"/>
        <v>-1.52591730134453</v>
      </c>
      <c r="AP538" s="30" t="str">
        <f t="shared" si="509"/>
        <v>-0,818516192393828-1,83332081965322i</v>
      </c>
      <c r="AQ538" s="32">
        <f t="shared" si="510"/>
        <v>6.05416459633867</v>
      </c>
      <c r="AR538" s="31">
        <f t="shared" si="511"/>
        <v>-114.059157860961</v>
      </c>
      <c r="AS538" t="str">
        <f t="shared" si="487"/>
        <v>-0,000338461538461538</v>
      </c>
      <c r="AT538" t="str">
        <f t="shared" si="488"/>
        <v>1,74321882514761i</v>
      </c>
      <c r="AU538">
        <f t="shared" si="512"/>
        <v>1.74321882514761</v>
      </c>
      <c r="AV538">
        <f t="shared" si="513"/>
        <v>1.5707963267949</v>
      </c>
      <c r="AW538" t="str">
        <f t="shared" si="489"/>
        <v>1+282,917961951635i</v>
      </c>
      <c r="AX538">
        <f t="shared" si="514"/>
        <v>282.919729242884</v>
      </c>
      <c r="AY538">
        <f t="shared" si="515"/>
        <v>1.56726174797677</v>
      </c>
      <c r="AZ538" t="str">
        <f t="shared" si="490"/>
        <v>1+2469,62804983952i</v>
      </c>
      <c r="BA538">
        <f t="shared" si="516"/>
        <v>2469.62825229915</v>
      </c>
      <c r="BB538">
        <f t="shared" si="517"/>
        <v>1.57039140754181</v>
      </c>
      <c r="BC538" s="30" t="str">
        <f t="shared" si="518"/>
        <v>-5,30422768335351E-06+0,00169482023690607i</v>
      </c>
      <c r="BD538" s="32">
        <f t="shared" si="519"/>
        <v>-55.4174846412126</v>
      </c>
      <c r="BE538" s="31">
        <f t="shared" si="520"/>
        <v>90.1793162843892</v>
      </c>
      <c r="BF538" s="30" t="str">
        <f t="shared" si="521"/>
        <v>-0,000176582652893595-8,03677397062648E-06i</v>
      </c>
      <c r="BG538" s="68">
        <f t="shared" si="522"/>
        <v>-75.0520525135088</v>
      </c>
      <c r="BH538" s="31">
        <f t="shared" si="523"/>
        <v>-177.394105975307</v>
      </c>
      <c r="BI538" s="30" t="str">
        <f t="shared" si="476"/>
        <v>0,00311149082213647-0,00137751345606029i</v>
      </c>
      <c r="BJ538" s="68">
        <f t="shared" si="524"/>
        <v>-49.3633200448739</v>
      </c>
      <c r="BK538" s="31">
        <f t="shared" si="477"/>
        <v>-23.8798415765721</v>
      </c>
      <c r="BL538" s="32">
        <f t="shared" si="525"/>
        <v>-75.0520525135088</v>
      </c>
      <c r="BM538" s="31">
        <f t="shared" si="526"/>
        <v>-177.394105975307</v>
      </c>
      <c r="BO538">
        <f t="shared" si="527"/>
        <v>0</v>
      </c>
      <c r="BP538">
        <f t="shared" si="528"/>
        <v>0</v>
      </c>
    </row>
    <row r="539" spans="14:68">
      <c r="N539" s="7">
        <v>21</v>
      </c>
      <c r="O539" s="18">
        <f t="shared" si="478"/>
        <v>1621810.09735893</v>
      </c>
      <c r="P539" s="86" t="str">
        <f t="shared" si="479"/>
        <v>15</v>
      </c>
      <c r="Q539" s="4" t="str">
        <f t="shared" si="480"/>
        <v>1+2972,12223430532i</v>
      </c>
      <c r="R539" s="4">
        <f t="shared" si="491"/>
        <v>2972.12240253527</v>
      </c>
      <c r="S539" s="4">
        <f t="shared" si="492"/>
        <v>1.57045986689068</v>
      </c>
      <c r="T539" s="4" t="str">
        <f t="shared" si="481"/>
        <v>1+2,03802667495222i</v>
      </c>
      <c r="U539" s="4">
        <f t="shared" si="493"/>
        <v>2.27014376809417</v>
      </c>
      <c r="V539" s="4">
        <f t="shared" si="494"/>
        <v>1.11463996364823</v>
      </c>
      <c r="W539" t="str">
        <f t="shared" si="482"/>
        <v>1-178,327334058319i</v>
      </c>
      <c r="X539" s="4">
        <f t="shared" si="495"/>
        <v>178.330137868918</v>
      </c>
      <c r="Y539" s="4">
        <f t="shared" si="496"/>
        <v>-1.56518872029134</v>
      </c>
      <c r="Z539" t="str">
        <f t="shared" si="483"/>
        <v>-17,7041279423671+9,46226670513528i</v>
      </c>
      <c r="AA539" s="4">
        <f t="shared" si="497"/>
        <v>20.0741285588893</v>
      </c>
      <c r="AB539" s="4">
        <f t="shared" si="498"/>
        <v>2.65075336955166</v>
      </c>
      <c r="AC539" s="67" t="str">
        <f t="shared" si="499"/>
        <v>-0,00413391092753749+0,101696840944988i</v>
      </c>
      <c r="AD539" s="68">
        <f t="shared" si="500"/>
        <v>-19.8466805215999</v>
      </c>
      <c r="AE539" s="31">
        <f t="shared" si="501"/>
        <v>92.3277549065785</v>
      </c>
      <c r="AF539" s="32" t="str">
        <f t="shared" si="502"/>
        <v>75,4669735059805</v>
      </c>
      <c r="AG539" s="32" t="str">
        <f t="shared" si="484"/>
        <v>1+1910,65000776771i</v>
      </c>
      <c r="AH539" s="32">
        <f t="shared" si="503"/>
        <v>1910.65026945874</v>
      </c>
      <c r="AI539" s="32">
        <f t="shared" si="504"/>
        <v>1.57027294474972</v>
      </c>
      <c r="AJ539" s="32" t="str">
        <f t="shared" si="485"/>
        <v>1+2,03802667495222i</v>
      </c>
      <c r="AK539" s="32">
        <f t="shared" si="505"/>
        <v>2.27014376809417</v>
      </c>
      <c r="AL539" s="32">
        <f t="shared" si="506"/>
        <v>1.11463996364823</v>
      </c>
      <c r="AM539" s="32" t="str">
        <f t="shared" si="486"/>
        <v>1-22,7858309257552i</v>
      </c>
      <c r="AN539" s="32">
        <f t="shared" si="507"/>
        <v>22.807763831141</v>
      </c>
      <c r="AO539" s="32">
        <f t="shared" si="508"/>
        <v>-1.5269375479108</v>
      </c>
      <c r="AP539" s="30" t="str">
        <f t="shared" si="509"/>
        <v>-0,818517177229111-1,87414267181517i</v>
      </c>
      <c r="AQ539" s="32">
        <f t="shared" si="510"/>
        <v>6.21423605811723</v>
      </c>
      <c r="AR539" s="31">
        <f t="shared" si="511"/>
        <v>-113.592923899423</v>
      </c>
      <c r="AS539" t="str">
        <f t="shared" si="487"/>
        <v>-0,000338461538461538</v>
      </c>
      <c r="AT539" t="str">
        <f t="shared" si="488"/>
        <v>1,78382360778544i</v>
      </c>
      <c r="AU539">
        <f t="shared" si="512"/>
        <v>1.78382360778544</v>
      </c>
      <c r="AV539">
        <f t="shared" si="513"/>
        <v>1.5707963267949</v>
      </c>
      <c r="AW539" t="str">
        <f t="shared" si="489"/>
        <v>1+289,507967855461i</v>
      </c>
      <c r="AX539">
        <f t="shared" si="514"/>
        <v>289.509694918493</v>
      </c>
      <c r="AY539">
        <f t="shared" si="515"/>
        <v>1.56734220416602</v>
      </c>
      <c r="AZ539" t="str">
        <f t="shared" si="490"/>
        <v>1+2527,15307694075i</v>
      </c>
      <c r="BA539">
        <f t="shared" si="516"/>
        <v>2527.15327479184</v>
      </c>
      <c r="BB539">
        <f t="shared" si="517"/>
        <v>1.57040062462832</v>
      </c>
      <c r="BC539" s="30" t="str">
        <f t="shared" si="518"/>
        <v>-0,0000050655009604346+0,0016562422429284i</v>
      </c>
      <c r="BD539" s="32">
        <f t="shared" si="519"/>
        <v>-55.6174822312814</v>
      </c>
      <c r="BE539" s="31">
        <f t="shared" si="520"/>
        <v>90.1752345844664</v>
      </c>
      <c r="BF539" s="30" t="str">
        <f t="shared" si="521"/>
        <v>-0,000168413663615686-7,36190335217092E-06i</v>
      </c>
      <c r="BG539" s="68">
        <f t="shared" si="522"/>
        <v>-75.4641627528813</v>
      </c>
      <c r="BH539" s="31">
        <f t="shared" si="523"/>
        <v>-177.497010508955</v>
      </c>
      <c r="BI539" s="30" t="str">
        <f t="shared" si="476"/>
        <v>0,00310818046188237-0,00134616925398529i</v>
      </c>
      <c r="BJ539" s="68">
        <f t="shared" si="524"/>
        <v>-49.4032461731641</v>
      </c>
      <c r="BK539" s="31">
        <f t="shared" si="477"/>
        <v>-23.4176893149565</v>
      </c>
      <c r="BL539" s="32">
        <f t="shared" si="525"/>
        <v>-75.4641627528813</v>
      </c>
      <c r="BM539" s="31">
        <f t="shared" si="526"/>
        <v>-177.497010508955</v>
      </c>
      <c r="BO539">
        <f t="shared" si="527"/>
        <v>0</v>
      </c>
      <c r="BP539">
        <f t="shared" si="528"/>
        <v>0</v>
      </c>
    </row>
    <row r="540" spans="14:68">
      <c r="N540" s="7">
        <v>22</v>
      </c>
      <c r="O540" s="18">
        <f t="shared" si="478"/>
        <v>1659586.90743756</v>
      </c>
      <c r="P540" s="86" t="str">
        <f t="shared" si="479"/>
        <v>15</v>
      </c>
      <c r="Q540" s="4" t="str">
        <f t="shared" si="480"/>
        <v>1+3041,35185456646i</v>
      </c>
      <c r="R540" s="4">
        <f t="shared" si="491"/>
        <v>3041.35201896703</v>
      </c>
      <c r="S540" s="4">
        <f t="shared" si="492"/>
        <v>1.57046752565258</v>
      </c>
      <c r="T540" s="4" t="str">
        <f t="shared" si="481"/>
        <v>1+2,08549841455986i</v>
      </c>
      <c r="U540" s="4">
        <f t="shared" si="493"/>
        <v>2.31285616438457</v>
      </c>
      <c r="V540" s="4">
        <f t="shared" si="494"/>
        <v>1.12368143430158</v>
      </c>
      <c r="W540" t="str">
        <f t="shared" si="482"/>
        <v>1-182,481111273988i</v>
      </c>
      <c r="X540" s="4">
        <f t="shared" si="495"/>
        <v>182.483851263035</v>
      </c>
      <c r="Y540" s="4">
        <f t="shared" si="496"/>
        <v>-1.56531636241395</v>
      </c>
      <c r="Z540" t="str">
        <f t="shared" si="483"/>
        <v>-18,5856263348493+9,68267121045647i</v>
      </c>
      <c r="AA540" s="4">
        <f t="shared" si="497"/>
        <v>20.9566129903772</v>
      </c>
      <c r="AB540" s="4">
        <f t="shared" si="498"/>
        <v>2.661305154991</v>
      </c>
      <c r="AC540" s="67" t="str">
        <f t="shared" si="499"/>
        <v>-0,00387100436524492+0,0992536506577902i</v>
      </c>
      <c r="AD540" s="68">
        <f t="shared" si="500"/>
        <v>-20.0584692266772</v>
      </c>
      <c r="AE540" s="31">
        <f t="shared" si="501"/>
        <v>92.233468073958</v>
      </c>
      <c r="AF540" s="32" t="str">
        <f t="shared" si="502"/>
        <v>75,4669735059805</v>
      </c>
      <c r="AG540" s="32" t="str">
        <f t="shared" si="484"/>
        <v>1+1955,15476364987i</v>
      </c>
      <c r="AH540" s="32">
        <f t="shared" si="503"/>
        <v>1955.15501938408</v>
      </c>
      <c r="AI540" s="32">
        <f t="shared" si="504"/>
        <v>1.57028485837746</v>
      </c>
      <c r="AJ540" s="32" t="str">
        <f t="shared" si="485"/>
        <v>1+2,08549841455986i</v>
      </c>
      <c r="AK540" s="32">
        <f t="shared" si="505"/>
        <v>2.31285616438457</v>
      </c>
      <c r="AL540" s="32">
        <f t="shared" si="506"/>
        <v>1.12368143430158</v>
      </c>
      <c r="AM540" s="32" t="str">
        <f t="shared" si="486"/>
        <v>1-23,3165811096194i</v>
      </c>
      <c r="AN540" s="32">
        <f t="shared" si="507"/>
        <v>23.3380152249813</v>
      </c>
      <c r="AO540" s="32">
        <f t="shared" si="508"/>
        <v>-1.52793465912146</v>
      </c>
      <c r="AP540" s="30" t="str">
        <f t="shared" si="509"/>
        <v>-0,818518117739525-1,91595821918253i</v>
      </c>
      <c r="AQ540" s="32">
        <f t="shared" si="510"/>
        <v>6.37576560387007</v>
      </c>
      <c r="AR540" s="31">
        <f t="shared" si="511"/>
        <v>-113.132698655059</v>
      </c>
      <c r="AS540" t="str">
        <f t="shared" si="487"/>
        <v>-0,000338461538461538</v>
      </c>
      <c r="AT540" t="str">
        <f t="shared" si="488"/>
        <v>1,82537419731181i</v>
      </c>
      <c r="AU540">
        <f t="shared" si="512"/>
        <v>1.82537419731181</v>
      </c>
      <c r="AV540">
        <f t="shared" si="513"/>
        <v>1.5707963267949</v>
      </c>
      <c r="AW540" t="str">
        <f t="shared" si="489"/>
        <v>1+296,251474715936i</v>
      </c>
      <c r="AX540">
        <f t="shared" si="514"/>
        <v>296.25316246644</v>
      </c>
      <c r="AY540">
        <f t="shared" si="515"/>
        <v>1.56742082899202</v>
      </c>
      <c r="AZ540" t="str">
        <f t="shared" si="490"/>
        <v>1+2586,01803405423i</v>
      </c>
      <c r="BA540">
        <f t="shared" si="516"/>
        <v>2586.01822740168</v>
      </c>
      <c r="BB540">
        <f t="shared" si="517"/>
        <v>1.5704096319084</v>
      </c>
      <c r="BC540" s="30" t="str">
        <f t="shared" si="518"/>
        <v>-4,83751845934851E-06+0,00161854233626633i</v>
      </c>
      <c r="BD540" s="32">
        <f t="shared" si="519"/>
        <v>-55.8174799298136</v>
      </c>
      <c r="BE540" s="31">
        <f t="shared" si="520"/>
        <v>90.1712457929049</v>
      </c>
      <c r="BF540" s="30" t="str">
        <f t="shared" si="521"/>
        <v>-0,000160627509563549-6,74552581623546E-06i</v>
      </c>
      <c r="BG540" s="68">
        <f t="shared" si="522"/>
        <v>-75.8759491564907</v>
      </c>
      <c r="BH540" s="31">
        <f t="shared" si="523"/>
        <v>-177.595286133137</v>
      </c>
      <c r="BI540" s="30" t="str">
        <f t="shared" si="476"/>
        <v>0,00310501908876825-0,00131553774330981i</v>
      </c>
      <c r="BJ540" s="68">
        <f t="shared" si="524"/>
        <v>-49.4417143259435</v>
      </c>
      <c r="BK540" s="31">
        <f t="shared" si="477"/>
        <v>-22.9614528621542</v>
      </c>
      <c r="BL540" s="32">
        <f t="shared" si="525"/>
        <v>-75.8759491564907</v>
      </c>
      <c r="BM540" s="31">
        <f t="shared" si="526"/>
        <v>-177.595286133137</v>
      </c>
      <c r="BO540">
        <f t="shared" si="527"/>
        <v>0</v>
      </c>
      <c r="BP540">
        <f t="shared" si="528"/>
        <v>0</v>
      </c>
    </row>
    <row r="541" spans="14:68">
      <c r="N541" s="7">
        <v>23</v>
      </c>
      <c r="O541" s="18">
        <f t="shared" si="478"/>
        <v>1698243.65246175</v>
      </c>
      <c r="P541" s="86" t="str">
        <f t="shared" si="479"/>
        <v>15</v>
      </c>
      <c r="Q541" s="4" t="str">
        <f t="shared" si="480"/>
        <v>1+3112,19403983795i</v>
      </c>
      <c r="R541" s="4">
        <f t="shared" si="491"/>
        <v>3112.19420049631</v>
      </c>
      <c r="S541" s="4">
        <f t="shared" si="492"/>
        <v>1.57047501007981</v>
      </c>
      <c r="T541" s="4" t="str">
        <f t="shared" si="481"/>
        <v>1+2,13407591303174i</v>
      </c>
      <c r="U541" s="4">
        <f t="shared" si="493"/>
        <v>2.35675200277464</v>
      </c>
      <c r="V541" s="4">
        <f t="shared" si="494"/>
        <v>1.13259350013431</v>
      </c>
      <c r="W541" t="str">
        <f t="shared" si="482"/>
        <v>1-186,731642390277i</v>
      </c>
      <c r="X541" s="4">
        <f t="shared" si="495"/>
        <v>186.734320010464</v>
      </c>
      <c r="Y541" s="4">
        <f t="shared" si="496"/>
        <v>-1.56544109921968</v>
      </c>
      <c r="Z541" t="str">
        <f t="shared" si="483"/>
        <v>-19,5086684666784+9,90820959621877i</v>
      </c>
      <c r="AA541" s="4">
        <f t="shared" si="497"/>
        <v>21.8806024310432</v>
      </c>
      <c r="AB541" s="4">
        <f t="shared" si="498"/>
        <v>2.67165494281559</v>
      </c>
      <c r="AC541" s="67" t="str">
        <f t="shared" si="499"/>
        <v>-0,00362582051813818+0,0968722374596046i</v>
      </c>
      <c r="AD541" s="68">
        <f t="shared" si="500"/>
        <v>-20.2699335157662</v>
      </c>
      <c r="AE541" s="31">
        <f t="shared" si="501"/>
        <v>92.1435169531006</v>
      </c>
      <c r="AF541" s="32" t="str">
        <f t="shared" si="502"/>
        <v>75,4669735059805</v>
      </c>
      <c r="AG541" s="32" t="str">
        <f t="shared" si="484"/>
        <v>1+2000,69616846726i</v>
      </c>
      <c r="AH541" s="32">
        <f t="shared" si="503"/>
        <v>2000.69641838025</v>
      </c>
      <c r="AI541" s="32">
        <f t="shared" si="504"/>
        <v>1.57029650081808</v>
      </c>
      <c r="AJ541" s="32" t="str">
        <f t="shared" si="485"/>
        <v>1+2,13407591303174i</v>
      </c>
      <c r="AK541" s="32">
        <f t="shared" si="505"/>
        <v>2.35675200277464</v>
      </c>
      <c r="AL541" s="32">
        <f t="shared" si="506"/>
        <v>1.13259350013431</v>
      </c>
      <c r="AM541" s="32" t="str">
        <f t="shared" si="486"/>
        <v>1-23,8596940534195i</v>
      </c>
      <c r="AN541" s="32">
        <f t="shared" si="507"/>
        <v>23.880640701681</v>
      </c>
      <c r="AO541" s="32">
        <f t="shared" si="508"/>
        <v>-1.52890915572268</v>
      </c>
      <c r="AP541" s="30" t="str">
        <f t="shared" si="509"/>
        <v>-0,818519015920019-1,9587896329151i</v>
      </c>
      <c r="AQ541" s="32">
        <f t="shared" si="510"/>
        <v>6.53871196360248</v>
      </c>
      <c r="AR541" s="31">
        <f t="shared" si="511"/>
        <v>-112.678576501211</v>
      </c>
      <c r="AS541" t="str">
        <f t="shared" si="487"/>
        <v>-0,000338461538461538</v>
      </c>
      <c r="AT541" t="str">
        <f t="shared" si="488"/>
        <v>1,86789262439928i</v>
      </c>
      <c r="AU541">
        <f t="shared" si="512"/>
        <v>1.86789262439928</v>
      </c>
      <c r="AV541">
        <f t="shared" si="513"/>
        <v>1.5707963267949</v>
      </c>
      <c r="AW541" t="str">
        <f t="shared" si="489"/>
        <v>1+303,152058029658i</v>
      </c>
      <c r="AX541">
        <f t="shared" si="514"/>
        <v>303.153707362482</v>
      </c>
      <c r="AY541">
        <f t="shared" si="515"/>
        <v>1.56749766413881</v>
      </c>
      <c r="AZ541" t="str">
        <f t="shared" si="490"/>
        <v>1+2646,25413215936i</v>
      </c>
      <c r="BA541">
        <f t="shared" si="516"/>
        <v>2646.25432110568</v>
      </c>
      <c r="BB541">
        <f t="shared" si="517"/>
        <v>1.57041843415781</v>
      </c>
      <c r="BC541" s="30" t="str">
        <f t="shared" si="518"/>
        <v>-4,61979663250623E-06+0,0015817005328857i</v>
      </c>
      <c r="BD541" s="32">
        <f t="shared" si="519"/>
        <v>-56.0174777319277</v>
      </c>
      <c r="BE541" s="31">
        <f t="shared" si="520"/>
        <v>90.1673477950173</v>
      </c>
      <c r="BF541" s="30" t="str">
        <f t="shared" si="521"/>
        <v>-0,000153206119058267-6,18249228208629E-06i</v>
      </c>
      <c r="BG541" s="68">
        <f t="shared" si="522"/>
        <v>-76.2874112476939</v>
      </c>
      <c r="BH541" s="31">
        <f t="shared" si="523"/>
        <v>-177.689135251882</v>
      </c>
      <c r="BI541" s="30" t="str">
        <f t="shared" si="476"/>
        <v>0,00310199999758619-0,00128560275390784i</v>
      </c>
      <c r="BJ541" s="68">
        <f t="shared" si="524"/>
        <v>-49.4787657683252</v>
      </c>
      <c r="BK541" s="31">
        <f t="shared" si="477"/>
        <v>-22.5112287061937</v>
      </c>
      <c r="BL541" s="32">
        <f t="shared" si="525"/>
        <v>-76.2874112476939</v>
      </c>
      <c r="BM541" s="31">
        <f t="shared" si="526"/>
        <v>-177.689135251882</v>
      </c>
      <c r="BO541">
        <f t="shared" si="527"/>
        <v>0</v>
      </c>
      <c r="BP541">
        <f t="shared" si="528"/>
        <v>0</v>
      </c>
    </row>
    <row r="542" spans="14:68">
      <c r="N542" s="7">
        <v>24</v>
      </c>
      <c r="O542" s="18">
        <f t="shared" si="478"/>
        <v>1737800.82874938</v>
      </c>
      <c r="P542" s="86" t="str">
        <f t="shared" si="479"/>
        <v>15</v>
      </c>
      <c r="Q542" s="4" t="str">
        <f t="shared" si="480"/>
        <v>1+3184,68635158409i</v>
      </c>
      <c r="R542" s="4">
        <f t="shared" si="491"/>
        <v>3184.68650858542</v>
      </c>
      <c r="S542" s="4">
        <f t="shared" si="492"/>
        <v>1.57048232414071</v>
      </c>
      <c r="T542" s="4" t="str">
        <f t="shared" si="481"/>
        <v>1+2,18378492680052i</v>
      </c>
      <c r="U542" s="4">
        <f t="shared" si="493"/>
        <v>2.40185690800288</v>
      </c>
      <c r="V542" s="4">
        <f t="shared" si="494"/>
        <v>1.14137522271758</v>
      </c>
      <c r="W542" t="str">
        <f t="shared" si="482"/>
        <v>1-191,081181095046i</v>
      </c>
      <c r="X542" s="4">
        <f t="shared" si="495"/>
        <v>191.083797766</v>
      </c>
      <c r="Y542" s="4">
        <f t="shared" si="496"/>
        <v>-1.56556299683009</v>
      </c>
      <c r="Z542" t="str">
        <f t="shared" si="483"/>
        <v>-20,4752122339701+10,1390014458595i</v>
      </c>
      <c r="AA542" s="4">
        <f t="shared" si="497"/>
        <v>22.8480560736632</v>
      </c>
      <c r="AB542" s="4">
        <f t="shared" si="498"/>
        <v>2.68180510680821</v>
      </c>
      <c r="AC542" s="67" t="str">
        <f t="shared" si="499"/>
        <v>-0,00339714440665236+0,0945510101822137i</v>
      </c>
      <c r="AD542" s="68">
        <f t="shared" si="500"/>
        <v>-20.4810738043496</v>
      </c>
      <c r="AE542" s="31">
        <f t="shared" si="501"/>
        <v>92.0577077524039</v>
      </c>
      <c r="AF542" s="32" t="str">
        <f t="shared" si="502"/>
        <v>75,4669735059805</v>
      </c>
      <c r="AG542" s="32" t="str">
        <f t="shared" si="484"/>
        <v>1+2047,29836887549i</v>
      </c>
      <c r="AH542" s="32">
        <f t="shared" si="503"/>
        <v>2047.29861309977</v>
      </c>
      <c r="AI542" s="32">
        <f t="shared" si="504"/>
        <v>1.57030787824452</v>
      </c>
      <c r="AJ542" s="32" t="str">
        <f t="shared" si="485"/>
        <v>1+2,18378492680052i</v>
      </c>
      <c r="AK542" s="32">
        <f t="shared" si="505"/>
        <v>2.40185690800288</v>
      </c>
      <c r="AL542" s="32">
        <f t="shared" si="506"/>
        <v>1.14137522271758</v>
      </c>
      <c r="AM542" s="32" t="str">
        <f t="shared" si="486"/>
        <v>1-24,4154577228268i</v>
      </c>
      <c r="AN542" s="32">
        <f t="shared" si="507"/>
        <v>24.43592797123</v>
      </c>
      <c r="AO542" s="32">
        <f t="shared" si="508"/>
        <v>-1.52986154699784</v>
      </c>
      <c r="AP542" s="30" t="str">
        <f t="shared" si="509"/>
        <v>-0,818519873675753-2,00265962279825i</v>
      </c>
      <c r="AQ542" s="32">
        <f t="shared" si="510"/>
        <v>6.70303416327924</v>
      </c>
      <c r="AR542" s="31">
        <f t="shared" si="511"/>
        <v>-112.230640739363</v>
      </c>
      <c r="AS542" t="str">
        <f t="shared" si="487"/>
        <v>-0,000338461538461538</v>
      </c>
      <c r="AT542" t="str">
        <f t="shared" si="488"/>
        <v>1,91140143288069i</v>
      </c>
      <c r="AU542">
        <f t="shared" si="512"/>
        <v>1.91140143288069</v>
      </c>
      <c r="AV542">
        <f t="shared" si="513"/>
        <v>1.5707963267949</v>
      </c>
      <c r="AW542" t="str">
        <f t="shared" si="489"/>
        <v>1+310,213376577236i</v>
      </c>
      <c r="AX542">
        <f t="shared" si="514"/>
        <v>310.214988366858</v>
      </c>
      <c r="AY542">
        <f t="shared" si="515"/>
        <v>1.56757275034176</v>
      </c>
      <c r="AZ542" t="str">
        <f t="shared" si="490"/>
        <v>1+2707,89330923264i</v>
      </c>
      <c r="BA542">
        <f t="shared" si="516"/>
        <v>2707.89349387802</v>
      </c>
      <c r="BB542">
        <f t="shared" si="517"/>
        <v>1.57042703604362</v>
      </c>
      <c r="BC542" s="30" t="str">
        <f t="shared" si="518"/>
        <v>-4,41187369360502E-06+0,00154569730339936i</v>
      </c>
      <c r="BD542" s="32">
        <f t="shared" si="519"/>
        <v>-56.217475632962</v>
      </c>
      <c r="BE542" s="31">
        <f t="shared" si="520"/>
        <v>90.1635385242412</v>
      </c>
      <c r="BF542" s="30" t="str">
        <f t="shared" si="521"/>
        <v>-0,000146132253700292-5,66810406314746E-06i</v>
      </c>
      <c r="BG542" s="68">
        <f t="shared" si="522"/>
        <v>-76.6985494373116</v>
      </c>
      <c r="BH542" s="31">
        <f t="shared" si="523"/>
        <v>-177.778753723355</v>
      </c>
      <c r="BI542" s="30" t="str">
        <f t="shared" si="476"/>
        <v>0,0030991167848844-0,00125634848021233i</v>
      </c>
      <c r="BJ542" s="68">
        <f t="shared" si="524"/>
        <v>-49.5144414696827</v>
      </c>
      <c r="BK542" s="31">
        <f t="shared" si="477"/>
        <v>-22.067102215122</v>
      </c>
      <c r="BL542" s="32">
        <f t="shared" si="525"/>
        <v>-76.6985494373116</v>
      </c>
      <c r="BM542" s="31">
        <f t="shared" si="526"/>
        <v>-177.778753723355</v>
      </c>
      <c r="BO542">
        <f t="shared" si="527"/>
        <v>0</v>
      </c>
      <c r="BP542">
        <f t="shared" si="528"/>
        <v>0</v>
      </c>
    </row>
    <row r="543" spans="14:68">
      <c r="N543" s="7">
        <v>25</v>
      </c>
      <c r="O543" s="18">
        <f t="shared" si="478"/>
        <v>1778279.41003892</v>
      </c>
      <c r="P543" s="86" t="str">
        <f t="shared" si="479"/>
        <v>15</v>
      </c>
      <c r="Q543" s="4" t="str">
        <f t="shared" si="480"/>
        <v>1+3258,86722618814i</v>
      </c>
      <c r="R543" s="4">
        <f t="shared" si="491"/>
        <v>3258.86737961568</v>
      </c>
      <c r="S543" s="4">
        <f t="shared" si="492"/>
        <v>1.5704894717133</v>
      </c>
      <c r="T543" s="4" t="str">
        <f t="shared" si="481"/>
        <v>1+2,2346518122433i</v>
      </c>
      <c r="U543" s="4">
        <f t="shared" si="493"/>
        <v>2.44819703495496</v>
      </c>
      <c r="V543" s="4">
        <f t="shared" si="494"/>
        <v>1.15002583933768</v>
      </c>
      <c r="W543" t="str">
        <f t="shared" si="482"/>
        <v>1-195,532033571289i</v>
      </c>
      <c r="X543" s="4">
        <f t="shared" si="495"/>
        <v>195.534590680329</v>
      </c>
      <c r="Y543" s="4">
        <f t="shared" si="496"/>
        <v>-1.56568211986241</v>
      </c>
      <c r="Z543" t="str">
        <f t="shared" si="483"/>
        <v>-21,4873078056418+10,3751691282724i</v>
      </c>
      <c r="AA543" s="4">
        <f t="shared" si="497"/>
        <v>23.8610253588284</v>
      </c>
      <c r="AB543" s="4">
        <f t="shared" si="498"/>
        <v>2.69175808396339</v>
      </c>
      <c r="AC543" s="67" t="str">
        <f t="shared" si="499"/>
        <v>-0,00318384119429455+0,0922884061596673i</v>
      </c>
      <c r="AD543" s="68">
        <f t="shared" si="500"/>
        <v>-20.6918913228354</v>
      </c>
      <c r="AE543" s="31">
        <f t="shared" si="501"/>
        <v>91.9758532176017</v>
      </c>
      <c r="AF543" s="32" t="str">
        <f t="shared" si="502"/>
        <v>75,4669735059805</v>
      </c>
      <c r="AG543" s="32" t="str">
        <f t="shared" si="484"/>
        <v>1+2094,9860739781i</v>
      </c>
      <c r="AH543" s="32">
        <f t="shared" si="503"/>
        <v>2094.98631264316</v>
      </c>
      <c r="AI543" s="32">
        <f t="shared" si="504"/>
        <v>1.57031899668923</v>
      </c>
      <c r="AJ543" s="32" t="str">
        <f t="shared" si="485"/>
        <v>1+2,2346518122433i</v>
      </c>
      <c r="AK543" s="32">
        <f t="shared" si="505"/>
        <v>2.44819703495496</v>
      </c>
      <c r="AL543" s="32">
        <f t="shared" si="506"/>
        <v>1.15002583933768</v>
      </c>
      <c r="AM543" s="32" t="str">
        <f t="shared" si="486"/>
        <v>1-24,9841667910956i</v>
      </c>
      <c r="AN543" s="32">
        <f t="shared" si="507"/>
        <v>25.0041714568846</v>
      </c>
      <c r="AO543" s="32">
        <f t="shared" si="508"/>
        <v>-1.53079233100254</v>
      </c>
      <c r="AP543" s="30" t="str">
        <f t="shared" si="509"/>
        <v>-0,818520692826138-2,04759144928401i</v>
      </c>
      <c r="AQ543" s="32">
        <f t="shared" si="510"/>
        <v>6.8686915912983</v>
      </c>
      <c r="AR543" s="31">
        <f t="shared" si="511"/>
        <v>-111.788963951911</v>
      </c>
      <c r="AS543" t="str">
        <f t="shared" si="487"/>
        <v>-0,000338461538461538</v>
      </c>
      <c r="AT543" t="str">
        <f t="shared" si="488"/>
        <v>1,9559236917022i</v>
      </c>
      <c r="AU543">
        <f t="shared" si="512"/>
        <v>1.9559236917022</v>
      </c>
      <c r="AV543">
        <f t="shared" si="513"/>
        <v>1.5707963267949</v>
      </c>
      <c r="AW543" t="str">
        <f t="shared" si="489"/>
        <v>1+317,439174363234i</v>
      </c>
      <c r="AX543">
        <f t="shared" si="514"/>
        <v>317.440749464229</v>
      </c>
      <c r="AY543">
        <f t="shared" si="515"/>
        <v>1.56764612740919</v>
      </c>
      <c r="AZ543" t="str">
        <f t="shared" si="490"/>
        <v>1+2770,96824718169i</v>
      </c>
      <c r="BA543">
        <f t="shared" si="516"/>
        <v>2770.96842762403</v>
      </c>
      <c r="BB543">
        <f t="shared" si="517"/>
        <v>1.57043544212666</v>
      </c>
      <c r="BC543" s="30" t="str">
        <f t="shared" si="518"/>
        <v>-4,21330863838009E-06+0,00151051356273447i</v>
      </c>
      <c r="BD543" s="32">
        <f t="shared" si="519"/>
        <v>-56.4174736284643</v>
      </c>
      <c r="BE543" s="31">
        <f t="shared" si="520"/>
        <v>90.1598159610447</v>
      </c>
      <c r="BF543" s="30" t="str">
        <f t="shared" si="521"/>
        <v>-0,000139389474681718-5,19807484446949E-06i</v>
      </c>
      <c r="BG543" s="68">
        <f t="shared" si="522"/>
        <v>-77.1093649512997</v>
      </c>
      <c r="BH543" s="31">
        <f t="shared" si="523"/>
        <v>-177.864330821354</v>
      </c>
      <c r="BI543" s="30" t="str">
        <f t="shared" si="476"/>
        <v>0,0030963633353884-0,00122775947315155i</v>
      </c>
      <c r="BJ543" s="68">
        <f t="shared" si="524"/>
        <v>-49.548782037166</v>
      </c>
      <c r="BK543" s="31">
        <f t="shared" si="477"/>
        <v>-21.6291479908658</v>
      </c>
      <c r="BL543" s="32">
        <f t="shared" si="525"/>
        <v>-77.1093649512997</v>
      </c>
      <c r="BM543" s="31">
        <f t="shared" si="526"/>
        <v>-177.864330821354</v>
      </c>
      <c r="BO543">
        <f t="shared" si="527"/>
        <v>0</v>
      </c>
      <c r="BP543">
        <f t="shared" si="528"/>
        <v>0</v>
      </c>
    </row>
    <row r="544" spans="14:68">
      <c r="N544" s="7">
        <v>26</v>
      </c>
      <c r="O544" s="18">
        <f t="shared" si="478"/>
        <v>1819700.85860998</v>
      </c>
      <c r="P544" s="86" t="str">
        <f t="shared" si="479"/>
        <v>15</v>
      </c>
      <c r="Q544" s="4" t="str">
        <f t="shared" si="480"/>
        <v>1+3334,77599533175i</v>
      </c>
      <c r="R544" s="4">
        <f t="shared" si="491"/>
        <v>3334.77614526686</v>
      </c>
      <c r="S544" s="4">
        <f t="shared" si="492"/>
        <v>1.57049645658729</v>
      </c>
      <c r="T544" s="4" t="str">
        <f t="shared" si="481"/>
        <v>1+2,28670353965606i</v>
      </c>
      <c r="U544" s="4">
        <f t="shared" si="493"/>
        <v>2.49579908611962</v>
      </c>
      <c r="V544" s="4">
        <f t="shared" si="494"/>
        <v>1.15854475680515</v>
      </c>
      <c r="W544" t="str">
        <f t="shared" si="482"/>
        <v>1-200,086559719905i</v>
      </c>
      <c r="X544" s="4">
        <f t="shared" si="495"/>
        <v>200.089058622772</v>
      </c>
      <c r="Y544" s="4">
        <f t="shared" si="496"/>
        <v>-1.56579853146372</v>
      </c>
      <c r="Z544" t="str">
        <f t="shared" si="483"/>
        <v>-22,5471019720954+10,6168378626888i</v>
      </c>
      <c r="AA544" s="4">
        <f t="shared" si="497"/>
        <v>24.9216583224851</v>
      </c>
      <c r="AB544" s="4">
        <f t="shared" si="498"/>
        <v>2.70151636807144</v>
      </c>
      <c r="AC544" s="67" t="str">
        <f t="shared" si="499"/>
        <v>-0,00298485153167214+0,0900828926937672i</v>
      </c>
      <c r="AD544" s="68">
        <f t="shared" si="500"/>
        <v>-20.9023880466952</v>
      </c>
      <c r="AE544" s="31">
        <f t="shared" si="501"/>
        <v>91.8977726425855</v>
      </c>
      <c r="AF544" s="32" t="str">
        <f t="shared" si="502"/>
        <v>75,4669735059805</v>
      </c>
      <c r="AG544" s="32" t="str">
        <f t="shared" si="484"/>
        <v>1+2143,78456842756i</v>
      </c>
      <c r="AH544" s="32">
        <f t="shared" si="503"/>
        <v>2143.78480165994</v>
      </c>
      <c r="AI544" s="32">
        <f t="shared" si="504"/>
        <v>1.57032986204737</v>
      </c>
      <c r="AJ544" s="32" t="str">
        <f t="shared" si="485"/>
        <v>1+2,28670353965606i</v>
      </c>
      <c r="AK544" s="32">
        <f t="shared" si="505"/>
        <v>2.49579908611962</v>
      </c>
      <c r="AL544" s="32">
        <f t="shared" si="506"/>
        <v>1.15854475680515</v>
      </c>
      <c r="AM544" s="32" t="str">
        <f t="shared" si="486"/>
        <v>1-25,5661227953017i</v>
      </c>
      <c r="AN544" s="32">
        <f t="shared" si="507"/>
        <v>25.585672451285</v>
      </c>
      <c r="AO544" s="32">
        <f t="shared" si="508"/>
        <v>-1.53170199479595</v>
      </c>
      <c r="AP544" s="30" t="str">
        <f t="shared" si="509"/>
        <v>-0,818521475108701-2,09360893582408i</v>
      </c>
      <c r="AQ544" s="32">
        <f t="shared" si="510"/>
        <v>7.03564406006692</v>
      </c>
      <c r="AR544" s="31">
        <f t="shared" si="511"/>
        <v>-111.353608370307</v>
      </c>
      <c r="AS544" t="str">
        <f t="shared" si="487"/>
        <v>-0,000338461538461538</v>
      </c>
      <c r="AT544" t="str">
        <f t="shared" si="488"/>
        <v>2,00148300715477i</v>
      </c>
      <c r="AU544">
        <f t="shared" si="512"/>
        <v>2.00148300715477</v>
      </c>
      <c r="AV544">
        <f t="shared" si="513"/>
        <v>1.5707963267949</v>
      </c>
      <c r="AW544" t="str">
        <f t="shared" si="489"/>
        <v>1+324,833282601286i</v>
      </c>
      <c r="AX544">
        <f t="shared" si="514"/>
        <v>324.834821848777</v>
      </c>
      <c r="AY544">
        <f t="shared" si="515"/>
        <v>1.56771783424342</v>
      </c>
      <c r="AZ544" t="str">
        <f t="shared" si="490"/>
        <v>1+2835,51238917351i</v>
      </c>
      <c r="BA544">
        <f t="shared" si="516"/>
        <v>2835.51256550848</v>
      </c>
      <c r="BB544">
        <f t="shared" si="517"/>
        <v>1.57044365686393</v>
      </c>
      <c r="BC544" s="30" t="str">
        <f t="shared" si="518"/>
        <v>-4,02368030941414E-06+0,00147613066003393i</v>
      </c>
      <c r="BD544" s="32">
        <f t="shared" si="519"/>
        <v>-56.617471714183</v>
      </c>
      <c r="BE544" s="31">
        <f t="shared" si="520"/>
        <v>90.1561781318565</v>
      </c>
      <c r="BF544" s="30" t="str">
        <f t="shared" si="521"/>
        <v>-0,000132962109761482-4,76849562309746E-06i</v>
      </c>
      <c r="BG544" s="68">
        <f t="shared" si="522"/>
        <v>-77.5198597608782</v>
      </c>
      <c r="BH544" s="31">
        <f t="shared" si="523"/>
        <v>-177.946049225558</v>
      </c>
      <c r="BI544" s="30" t="str">
        <f t="shared" si="476"/>
        <v>0,00309373380903316-0,00119982063225346i</v>
      </c>
      <c r="BJ544" s="68">
        <f t="shared" si="524"/>
        <v>-49.5818276541161</v>
      </c>
      <c r="BK544" s="31">
        <f t="shared" si="477"/>
        <v>-21.1974302384501</v>
      </c>
      <c r="BL544" s="32">
        <f t="shared" si="525"/>
        <v>-77.5198597608782</v>
      </c>
      <c r="BM544" s="31">
        <f t="shared" si="526"/>
        <v>-177.946049225558</v>
      </c>
      <c r="BO544">
        <f t="shared" si="527"/>
        <v>0</v>
      </c>
      <c r="BP544">
        <f t="shared" si="528"/>
        <v>0</v>
      </c>
    </row>
    <row r="545" spans="14:68">
      <c r="N545" s="7">
        <v>27</v>
      </c>
      <c r="O545" s="18">
        <f t="shared" si="478"/>
        <v>1862087.13666287</v>
      </c>
      <c r="P545" s="86" t="str">
        <f t="shared" si="479"/>
        <v>15</v>
      </c>
      <c r="Q545" s="4" t="str">
        <f t="shared" si="480"/>
        <v>1+3412,45290684906i</v>
      </c>
      <c r="R545" s="4">
        <f t="shared" si="491"/>
        <v>3412.45305337123</v>
      </c>
      <c r="S545" s="4">
        <f t="shared" si="492"/>
        <v>1.57050328246618</v>
      </c>
      <c r="T545" s="4" t="str">
        <f t="shared" si="481"/>
        <v>1+2,33996770755364i</v>
      </c>
      <c r="U545" s="4">
        <f t="shared" si="493"/>
        <v>2.54469032937091</v>
      </c>
      <c r="V545" s="4">
        <f t="shared" si="494"/>
        <v>1.16693154504102</v>
      </c>
      <c r="W545" t="str">
        <f t="shared" si="482"/>
        <v>1-204,747174410944i</v>
      </c>
      <c r="X545" s="4">
        <f t="shared" si="495"/>
        <v>204.749616432524</v>
      </c>
      <c r="Y545" s="4">
        <f t="shared" si="496"/>
        <v>-1.56591229334436</v>
      </c>
      <c r="Z545" t="str">
        <f t="shared" si="483"/>
        <v>-23,6568426988467+10,8641357850704i</v>
      </c>
      <c r="AA545" s="4">
        <f t="shared" si="497"/>
        <v>26.0322041486007</v>
      </c>
      <c r="AB545" s="4">
        <f t="shared" si="498"/>
        <v>2.71108250354116</v>
      </c>
      <c r="AC545" s="67" t="str">
        <f t="shared" si="499"/>
        <v>-0,00279918708627241+0,0879329682420485i</v>
      </c>
      <c r="AD545" s="68">
        <f t="shared" si="500"/>
        <v>-21.1125666292474</v>
      </c>
      <c r="AE545" s="31">
        <f t="shared" si="501"/>
        <v>91.8232918538238</v>
      </c>
      <c r="AF545" s="32" t="str">
        <f t="shared" si="502"/>
        <v>75,4669735059805</v>
      </c>
      <c r="AG545" s="32" t="str">
        <f t="shared" si="484"/>
        <v>1+2193,71972583154i</v>
      </c>
      <c r="AH545" s="32">
        <f t="shared" si="503"/>
        <v>2193.7199537549</v>
      </c>
      <c r="AI545" s="32">
        <f t="shared" si="504"/>
        <v>1.57034048007986</v>
      </c>
      <c r="AJ545" s="32" t="str">
        <f t="shared" si="485"/>
        <v>1+2,33996770755364i</v>
      </c>
      <c r="AK545" s="32">
        <f t="shared" si="505"/>
        <v>2.54469032937091</v>
      </c>
      <c r="AL545" s="32">
        <f t="shared" si="506"/>
        <v>1.16693154504102</v>
      </c>
      <c r="AM545" s="32" t="str">
        <f t="shared" si="486"/>
        <v>1-26,1616342962214i</v>
      </c>
      <c r="AN545" s="32">
        <f t="shared" si="507"/>
        <v>26.1807392762165</v>
      </c>
      <c r="AO545" s="32">
        <f t="shared" si="508"/>
        <v>-1.53259101466854</v>
      </c>
      <c r="AP545" s="30" t="str">
        <f t="shared" si="509"/>
        <v>-0,818522222182761-2,14073648150123i</v>
      </c>
      <c r="AQ545" s="32">
        <f t="shared" si="510"/>
        <v>7.20385186269592</v>
      </c>
      <c r="AR545" s="31">
        <f t="shared" si="511"/>
        <v>-110.924626255773</v>
      </c>
      <c r="AS545" t="str">
        <f t="shared" si="487"/>
        <v>-0,000338461538461538</v>
      </c>
      <c r="AT545" t="str">
        <f t="shared" si="488"/>
        <v>2,04810353539048i</v>
      </c>
      <c r="AU545">
        <f t="shared" si="512"/>
        <v>2.04810353539048</v>
      </c>
      <c r="AV545">
        <f t="shared" si="513"/>
        <v>1.5707963267949</v>
      </c>
      <c r="AW545" t="str">
        <f t="shared" si="489"/>
        <v>1+332,39962174545i</v>
      </c>
      <c r="AX545">
        <f t="shared" si="514"/>
        <v>332.401125955551</v>
      </c>
      <c r="AY545">
        <f t="shared" si="515"/>
        <v>1.56778790886142</v>
      </c>
      <c r="AZ545" t="str">
        <f t="shared" si="490"/>
        <v>1+2901,55995736651i</v>
      </c>
      <c r="BA545">
        <f t="shared" si="516"/>
        <v>2901.5601296876</v>
      </c>
      <c r="BB545">
        <f t="shared" si="517"/>
        <v>1.570451684611</v>
      </c>
      <c r="BC545" s="30" t="str">
        <f t="shared" si="518"/>
        <v>-3,84258650302455E-06+0,00144253036878672i</v>
      </c>
      <c r="BD545" s="32">
        <f t="shared" si="519"/>
        <v>-56.8174698860578</v>
      </c>
      <c r="BE545" s="31">
        <f t="shared" si="520"/>
        <v>90.1526231080202</v>
      </c>
      <c r="BF545" s="30" t="str">
        <f t="shared" si="521"/>
        <v>-0,000126835220988196-4,37580241680135E-06i</v>
      </c>
      <c r="BG545" s="68">
        <f t="shared" si="522"/>
        <v>-77.9300365153052</v>
      </c>
      <c r="BH545" s="31">
        <f t="shared" si="523"/>
        <v>-178.024085038156</v>
      </c>
      <c r="BI545" s="30" t="str">
        <f t="shared" si="476"/>
        <v>0,00309122262857854-0,00117251719791508i</v>
      </c>
      <c r="BJ545" s="68">
        <f t="shared" si="524"/>
        <v>-49.6136180233619</v>
      </c>
      <c r="BK545" s="31">
        <f t="shared" si="477"/>
        <v>-20.7720031477526</v>
      </c>
      <c r="BL545" s="32">
        <f t="shared" si="525"/>
        <v>-77.9300365153052</v>
      </c>
      <c r="BM545" s="31">
        <f t="shared" si="526"/>
        <v>-178.024085038156</v>
      </c>
      <c r="BO545">
        <f t="shared" si="527"/>
        <v>0</v>
      </c>
      <c r="BP545">
        <f t="shared" si="528"/>
        <v>0</v>
      </c>
    </row>
    <row r="546" spans="14:68">
      <c r="N546" s="7">
        <v>28</v>
      </c>
      <c r="O546" s="18">
        <f t="shared" si="478"/>
        <v>1905460.71796325</v>
      </c>
      <c r="P546" s="86" t="str">
        <f t="shared" si="479"/>
        <v>15</v>
      </c>
      <c r="Q546" s="4" t="str">
        <f t="shared" si="480"/>
        <v>1+3491,93914606676i</v>
      </c>
      <c r="R546" s="4">
        <f t="shared" si="491"/>
        <v>3491.93928925367</v>
      </c>
      <c r="S546" s="4">
        <f t="shared" si="492"/>
        <v>1.57050995296911</v>
      </c>
      <c r="T546" s="4" t="str">
        <f t="shared" si="481"/>
        <v>1+2,39447255730292i</v>
      </c>
      <c r="U546" s="4">
        <f t="shared" si="493"/>
        <v>2.594898616069</v>
      </c>
      <c r="V546" s="4">
        <f t="shared" si="494"/>
        <v>1.17518593048697</v>
      </c>
      <c r="W546" t="str">
        <f t="shared" si="482"/>
        <v>1-209,516348764006i</v>
      </c>
      <c r="X546" s="4">
        <f t="shared" si="495"/>
        <v>209.518735199028</v>
      </c>
      <c r="Y546" s="4">
        <f t="shared" si="496"/>
        <v>-1.5660234658106</v>
      </c>
      <c r="Z546" t="str">
        <f t="shared" si="483"/>
        <v>-24,8188838947632+11,1171940160492i</v>
      </c>
      <c r="AA546" s="4">
        <f t="shared" si="497"/>
        <v>27.1950179366041</v>
      </c>
      <c r="AB546" s="4">
        <f t="shared" si="498"/>
        <v>2.72045907946702</v>
      </c>
      <c r="AC546" s="67" t="str">
        <f t="shared" si="499"/>
        <v>-0,00262592626153576+0,0858371633540334i</v>
      </c>
      <c r="AD546" s="68">
        <f t="shared" si="500"/>
        <v>-21.3224303372351</v>
      </c>
      <c r="AE546" s="31">
        <f t="shared" si="501"/>
        <v>91.7522431707361</v>
      </c>
      <c r="AF546" s="32" t="str">
        <f t="shared" si="502"/>
        <v>75,4669735059805</v>
      </c>
      <c r="AG546" s="32" t="str">
        <f t="shared" si="484"/>
        <v>1+2244,81802247149i</v>
      </c>
      <c r="AH546" s="32">
        <f t="shared" si="503"/>
        <v>2244.81824520668</v>
      </c>
      <c r="AI546" s="32">
        <f t="shared" si="504"/>
        <v>1.57035085641652</v>
      </c>
      <c r="AJ546" s="32" t="str">
        <f t="shared" si="485"/>
        <v>1+2,39447255730292i</v>
      </c>
      <c r="AK546" s="32">
        <f t="shared" si="505"/>
        <v>2.594898616069</v>
      </c>
      <c r="AL546" s="32">
        <f t="shared" si="506"/>
        <v>1.17518593048697</v>
      </c>
      <c r="AM546" s="32" t="str">
        <f t="shared" si="486"/>
        <v>1-26,7710170419354i</v>
      </c>
      <c r="AN546" s="32">
        <f t="shared" si="507"/>
        <v>26.7896874460975</v>
      </c>
      <c r="AO546" s="32">
        <f t="shared" si="508"/>
        <v>-1.53345985636607</v>
      </c>
      <c r="AP546" s="30" t="str">
        <f t="shared" si="509"/>
        <v>-0,818522935632962-2,18899907396624i</v>
      </c>
      <c r="AQ546" s="32">
        <f t="shared" si="510"/>
        <v>7.37327582486246</v>
      </c>
      <c r="AR546" s="31">
        <f t="shared" si="511"/>
        <v>-110.502060289876</v>
      </c>
      <c r="AS546" t="str">
        <f t="shared" si="487"/>
        <v>-0,000338461538461538</v>
      </c>
      <c r="AT546" t="str">
        <f t="shared" si="488"/>
        <v>2,09580999523052i</v>
      </c>
      <c r="AU546">
        <f t="shared" si="512"/>
        <v>2.09580999523052</v>
      </c>
      <c r="AV546">
        <f t="shared" si="513"/>
        <v>1.5707963267949</v>
      </c>
      <c r="AW546" t="str">
        <f t="shared" si="489"/>
        <v>1+340,142203568895i</v>
      </c>
      <c r="AX546">
        <f t="shared" si="514"/>
        <v>340.143673539144</v>
      </c>
      <c r="AY546">
        <f t="shared" si="515"/>
        <v>1.56785638841493</v>
      </c>
      <c r="AZ546" t="str">
        <f t="shared" si="490"/>
        <v>1+2969,14597105562i</v>
      </c>
      <c r="BA546">
        <f t="shared" si="516"/>
        <v>2969.14613945421</v>
      </c>
      <c r="BB546">
        <f t="shared" si="517"/>
        <v>1.57045952962428</v>
      </c>
      <c r="BC546" s="30" t="str">
        <f t="shared" si="518"/>
        <v>-3,66964311633385E-06+0,00140969487718187i</v>
      </c>
      <c r="BD546" s="32">
        <f t="shared" si="519"/>
        <v>-57.0174681402109</v>
      </c>
      <c r="BE546" s="31">
        <f t="shared" si="520"/>
        <v>90.1491490047726</v>
      </c>
      <c r="BF546" s="30" t="str">
        <f t="shared" si="521"/>
        <v>-0,000120994573239775-4,01674655437205E-06i</v>
      </c>
      <c r="BG546" s="68">
        <f t="shared" si="522"/>
        <v>-78.3398984774459</v>
      </c>
      <c r="BH546" s="31">
        <f t="shared" si="523"/>
        <v>-178.098607824491</v>
      </c>
      <c r="BI546" s="30" t="str">
        <f t="shared" si="476"/>
        <v>0,00308882446778237-0,00114583474383421i</v>
      </c>
      <c r="BJ546" s="68">
        <f t="shared" si="524"/>
        <v>-49.6441923153484</v>
      </c>
      <c r="BK546" s="31">
        <f t="shared" si="477"/>
        <v>-20.3529112851038</v>
      </c>
      <c r="BL546" s="32">
        <f t="shared" si="525"/>
        <v>-78.3398984774459</v>
      </c>
      <c r="BM546" s="31">
        <f t="shared" si="526"/>
        <v>-178.098607824491</v>
      </c>
      <c r="BO546">
        <f t="shared" si="527"/>
        <v>0</v>
      </c>
      <c r="BP546">
        <f t="shared" si="528"/>
        <v>0</v>
      </c>
    </row>
    <row r="547" spans="14:68">
      <c r="N547" s="7">
        <v>29</v>
      </c>
      <c r="O547" s="18">
        <f t="shared" si="478"/>
        <v>1949844.59975805</v>
      </c>
      <c r="P547" s="86" t="str">
        <f t="shared" si="479"/>
        <v>15</v>
      </c>
      <c r="Q547" s="4" t="str">
        <f t="shared" si="480"/>
        <v>1+3573,27685764093i</v>
      </c>
      <c r="R547" s="4">
        <f t="shared" si="491"/>
        <v>3573.27699756851</v>
      </c>
      <c r="S547" s="4">
        <f t="shared" si="492"/>
        <v>1.57051647163289</v>
      </c>
      <c r="T547" s="4" t="str">
        <f t="shared" si="481"/>
        <v>1+2,45024698809664i</v>
      </c>
      <c r="U547" s="4">
        <f t="shared" si="493"/>
        <v>2.64645239947305</v>
      </c>
      <c r="V547" s="4">
        <f t="shared" si="494"/>
        <v>1.18330778938376</v>
      </c>
      <c r="W547" t="str">
        <f t="shared" si="482"/>
        <v>1-214,396611458456i</v>
      </c>
      <c r="X547" s="4">
        <f t="shared" si="495"/>
        <v>214.398943572183</v>
      </c>
      <c r="Y547" s="4">
        <f t="shared" si="496"/>
        <v>-1.56613210779656</v>
      </c>
      <c r="Z547" t="str">
        <f t="shared" si="483"/>
        <v>-26,0356904050177+11,3761467304487i</v>
      </c>
      <c r="AA547" s="4">
        <f t="shared" si="497"/>
        <v>28.4125656936967</v>
      </c>
      <c r="AB547" s="4">
        <f t="shared" si="498"/>
        <v>2.72964872394479</v>
      </c>
      <c r="AC547" s="67" t="str">
        <f t="shared" si="499"/>
        <v>-0,00246421010694724+0,0837940413801409i</v>
      </c>
      <c r="AD547" s="68">
        <f t="shared" si="500"/>
        <v>-21.5319829893097</v>
      </c>
      <c r="AE547" s="31">
        <f t="shared" si="501"/>
        <v>91.684465344325</v>
      </c>
      <c r="AF547" s="32" t="str">
        <f t="shared" si="502"/>
        <v>75,4669735059805</v>
      </c>
      <c r="AG547" s="32" t="str">
        <f t="shared" si="484"/>
        <v>1+2297,1065513406i</v>
      </c>
      <c r="AH547" s="32">
        <f t="shared" si="503"/>
        <v>2297.10676900572</v>
      </c>
      <c r="AI547" s="32">
        <f t="shared" si="504"/>
        <v>1.57036099655902</v>
      </c>
      <c r="AJ547" s="32" t="str">
        <f t="shared" si="485"/>
        <v>1+2,45024698809664i</v>
      </c>
      <c r="AK547" s="32">
        <f t="shared" si="505"/>
        <v>2.64645239947305</v>
      </c>
      <c r="AL547" s="32">
        <f t="shared" si="506"/>
        <v>1.18330778938376</v>
      </c>
      <c r="AM547" s="32" t="str">
        <f t="shared" si="486"/>
        <v>1-27,394594135241i</v>
      </c>
      <c r="AN547" s="32">
        <f t="shared" si="507"/>
        <v>27.4128398352776</v>
      </c>
      <c r="AO547" s="32">
        <f t="shared" si="508"/>
        <v>-1.53430897530989</v>
      </c>
      <c r="AP547" s="30" t="str">
        <f t="shared" si="509"/>
        <v>-0,818523616972631-2,23842230268645i</v>
      </c>
      <c r="AQ547" s="32">
        <f t="shared" si="510"/>
        <v>7.54387735191728</v>
      </c>
      <c r="AR547" s="31">
        <f t="shared" si="511"/>
        <v>-110.085943972444</v>
      </c>
      <c r="AS547" t="str">
        <f t="shared" si="487"/>
        <v>-0,000338461538461538</v>
      </c>
      <c r="AT547" t="str">
        <f t="shared" si="488"/>
        <v>2,14462768127135i</v>
      </c>
      <c r="AU547">
        <f t="shared" si="512"/>
        <v>2.14462768127135</v>
      </c>
      <c r="AV547">
        <f t="shared" si="513"/>
        <v>1.5707963267949</v>
      </c>
      <c r="AW547" t="str">
        <f t="shared" si="489"/>
        <v>1+348,065133290982i</v>
      </c>
      <c r="AX547">
        <f t="shared" si="514"/>
        <v>348.066569800762</v>
      </c>
      <c r="AY547">
        <f t="shared" si="515"/>
        <v>1.56792330921013</v>
      </c>
      <c r="AZ547" t="str">
        <f t="shared" si="490"/>
        <v>1+3038,30626523983i</v>
      </c>
      <c r="BA547">
        <f t="shared" si="516"/>
        <v>3038.3064298052</v>
      </c>
      <c r="BB547">
        <f t="shared" si="517"/>
        <v>1.5704671960633</v>
      </c>
      <c r="BC547" s="30" t="str">
        <f t="shared" si="518"/>
        <v>-0,0000035044833327178+0,00137760677868112i</v>
      </c>
      <c r="BD547" s="32">
        <f t="shared" si="519"/>
        <v>-57.2174664729395</v>
      </c>
      <c r="BE547" s="31">
        <f t="shared" si="520"/>
        <v>90.1457539802454</v>
      </c>
      <c r="BF547" s="30" t="str">
        <f t="shared" si="521"/>
        <v>-0,00011542660363512-3,68836736882281E-06i</v>
      </c>
      <c r="BG547" s="68">
        <f t="shared" si="522"/>
        <v>-78.7494494622492</v>
      </c>
      <c r="BH547" s="31">
        <f t="shared" si="523"/>
        <v>-178.16978067543</v>
      </c>
      <c r="BI547" s="30" t="str">
        <f t="shared" si="476"/>
        <v>0,00308653424010497-0,00111975916960074i</v>
      </c>
      <c r="BJ547" s="68">
        <f t="shared" si="524"/>
        <v>-49.6735891210222</v>
      </c>
      <c r="BK547" s="31">
        <f t="shared" si="477"/>
        <v>-19.9401899921988</v>
      </c>
      <c r="BL547" s="32">
        <f t="shared" si="525"/>
        <v>-78.7494494622492</v>
      </c>
      <c r="BM547" s="31">
        <f t="shared" si="526"/>
        <v>-178.16978067543</v>
      </c>
      <c r="BO547">
        <f t="shared" si="527"/>
        <v>0</v>
      </c>
      <c r="BP547">
        <f t="shared" si="528"/>
        <v>0</v>
      </c>
    </row>
    <row r="548" spans="14:68">
      <c r="N548" s="7">
        <v>30</v>
      </c>
      <c r="O548" s="18">
        <f t="shared" si="478"/>
        <v>1995262.31496888</v>
      </c>
      <c r="P548" s="86" t="str">
        <f t="shared" si="479"/>
        <v>15</v>
      </c>
      <c r="Q548" s="4" t="str">
        <f t="shared" si="480"/>
        <v>1+3656,50916790297i</v>
      </c>
      <c r="R548" s="4">
        <f t="shared" si="491"/>
        <v>3656.50930464541</v>
      </c>
      <c r="S548" s="4">
        <f t="shared" si="492"/>
        <v>1.57052284191378</v>
      </c>
      <c r="T548" s="4" t="str">
        <f t="shared" si="481"/>
        <v>1+2,50732057227632i</v>
      </c>
      <c r="U548" s="4">
        <f t="shared" si="493"/>
        <v>2.69938075346181</v>
      </c>
      <c r="V548" s="4">
        <f t="shared" si="494"/>
        <v>1.19129714095971</v>
      </c>
      <c r="W548" t="str">
        <f t="shared" si="482"/>
        <v>1-219,390550074178i</v>
      </c>
      <c r="X548" s="4">
        <f t="shared" si="495"/>
        <v>219.392829103073</v>
      </c>
      <c r="Y548" s="4">
        <f t="shared" si="496"/>
        <v>-1.56623827689539</v>
      </c>
      <c r="Z548" t="str">
        <f t="shared" si="483"/>
        <v>-27,3098432393599+11,6411312284257i</v>
      </c>
      <c r="AA548" s="4">
        <f t="shared" si="497"/>
        <v>29.6874295626253</v>
      </c>
      <c r="AB548" s="4">
        <f t="shared" si="498"/>
        <v>2.73865409863815</v>
      </c>
      <c r="AC548" s="67" t="str">
        <f t="shared" si="499"/>
        <v>-0,00231323841931142+0,0818021989761382i</v>
      </c>
      <c r="AD548" s="68">
        <f t="shared" si="500"/>
        <v>-21.7412288975055</v>
      </c>
      <c r="AE548" s="31">
        <f t="shared" si="501"/>
        <v>91.6198034763223</v>
      </c>
      <c r="AF548" s="32" t="str">
        <f t="shared" si="502"/>
        <v>75,4669735059805</v>
      </c>
      <c r="AG548" s="32" t="str">
        <f t="shared" si="484"/>
        <v>1+2350,61303650905i</v>
      </c>
      <c r="AH548" s="32">
        <f t="shared" si="503"/>
        <v>2350.61324921951</v>
      </c>
      <c r="AI548" s="32">
        <f t="shared" si="504"/>
        <v>1.57037090588378</v>
      </c>
      <c r="AJ548" s="32" t="str">
        <f t="shared" si="485"/>
        <v>1+2,50732057227632i</v>
      </c>
      <c r="AK548" s="32">
        <f t="shared" si="505"/>
        <v>2.69938075346181</v>
      </c>
      <c r="AL548" s="32">
        <f t="shared" si="506"/>
        <v>1.19129714095971</v>
      </c>
      <c r="AM548" s="32" t="str">
        <f t="shared" si="486"/>
        <v>1-28,0326962049676i</v>
      </c>
      <c r="AN548" s="32">
        <f t="shared" si="507"/>
        <v>28.0505268492413</v>
      </c>
      <c r="AO548" s="32">
        <f t="shared" si="508"/>
        <v>-1.53513881681358</v>
      </c>
      <c r="AP548" s="30" t="str">
        <f t="shared" si="509"/>
        <v>-0,818524267646972-2,28903237251388i</v>
      </c>
      <c r="AQ548" s="32">
        <f t="shared" si="510"/>
        <v>7.7156184713439</v>
      </c>
      <c r="AR548" s="31">
        <f t="shared" si="511"/>
        <v>-109.676302024409</v>
      </c>
      <c r="AS548" t="str">
        <f t="shared" si="487"/>
        <v>-0,000338461538461538</v>
      </c>
      <c r="AT548" t="str">
        <f t="shared" si="488"/>
        <v>2,19458247729629i</v>
      </c>
      <c r="AU548">
        <f t="shared" si="512"/>
        <v>2.19458247729629</v>
      </c>
      <c r="AV548">
        <f t="shared" si="513"/>
        <v>1.5707963267949</v>
      </c>
      <c r="AW548" t="str">
        <f t="shared" si="489"/>
        <v>1+356,172611753929i</v>
      </c>
      <c r="AX548">
        <f t="shared" si="514"/>
        <v>356.174015564885</v>
      </c>
      <c r="AY548">
        <f t="shared" si="515"/>
        <v>1.56798870672693</v>
      </c>
      <c r="AZ548" t="str">
        <f t="shared" si="490"/>
        <v>1+3109,07750962264i</v>
      </c>
      <c r="BA548">
        <f t="shared" si="516"/>
        <v>3109.07767044204</v>
      </c>
      <c r="BB548">
        <f t="shared" si="517"/>
        <v>1.5704746879929</v>
      </c>
      <c r="BC548" s="30" t="str">
        <f t="shared" si="518"/>
        <v>-3,34675684390312E-06+0,00134624906280544i</v>
      </c>
      <c r="BD548" s="32">
        <f t="shared" si="519"/>
        <v>-57.417464880707</v>
      </c>
      <c r="BE548" s="31">
        <f t="shared" si="520"/>
        <v>90.1424362344888</v>
      </c>
      <c r="BF548" s="30" t="str">
        <f t="shared" si="521"/>
        <v>-0,000110118391860539-3,38796712331325E-06i</v>
      </c>
      <c r="BG548" s="68">
        <f t="shared" si="522"/>
        <v>-79.1586937782125</v>
      </c>
      <c r="BH548" s="31">
        <f t="shared" si="523"/>
        <v>-178.237760289189</v>
      </c>
      <c r="BI548" s="30" t="str">
        <f t="shared" si="476"/>
        <v>0,00308434708792277-0,00109427669344462i</v>
      </c>
      <c r="BJ548" s="68">
        <f t="shared" si="524"/>
        <v>-49.7018464093631</v>
      </c>
      <c r="BK548" s="31">
        <f t="shared" si="477"/>
        <v>-19.5338657899198</v>
      </c>
      <c r="BL548" s="32">
        <f t="shared" si="525"/>
        <v>-79.1586937782125</v>
      </c>
      <c r="BM548" s="31">
        <f t="shared" si="526"/>
        <v>-178.237760289189</v>
      </c>
      <c r="BO548">
        <f t="shared" si="527"/>
        <v>0</v>
      </c>
      <c r="BP548">
        <f t="shared" si="528"/>
        <v>0</v>
      </c>
    </row>
    <row r="549" spans="14:68">
      <c r="N549" s="7">
        <v>31</v>
      </c>
      <c r="O549" s="18">
        <f t="shared" si="478"/>
        <v>2041737.94466953</v>
      </c>
      <c r="P549" s="86" t="str">
        <f t="shared" si="479"/>
        <v>15</v>
      </c>
      <c r="Q549" s="4" t="str">
        <f t="shared" si="480"/>
        <v>1+3741,68020772542i</v>
      </c>
      <c r="R549" s="4">
        <f t="shared" si="491"/>
        <v>3741.68034135522</v>
      </c>
      <c r="S549" s="4">
        <f t="shared" si="492"/>
        <v>1.57052906718941</v>
      </c>
      <c r="T549" s="4" t="str">
        <f t="shared" si="481"/>
        <v>1+2,56572357101172i</v>
      </c>
      <c r="U549" s="4">
        <f t="shared" si="493"/>
        <v>2.75371339155787</v>
      </c>
      <c r="V549" s="4">
        <f t="shared" si="494"/>
        <v>1.19915414056799</v>
      </c>
      <c r="W549" t="str">
        <f t="shared" si="482"/>
        <v>1-224,500812463526i</v>
      </c>
      <c r="X549" s="4">
        <f t="shared" si="495"/>
        <v>224.503039615911</v>
      </c>
      <c r="Y549" s="4">
        <f t="shared" si="496"/>
        <v>-1.56634202938978</v>
      </c>
      <c r="Z549" t="str">
        <f t="shared" si="483"/>
        <v>-28,6440450467793+11,9122880082687i</v>
      </c>
      <c r="AA549" s="4">
        <f t="shared" si="497"/>
        <v>31.0223132959788</v>
      </c>
      <c r="AB549" s="4">
        <f t="shared" si="498"/>
        <v>2.74747789359694</v>
      </c>
      <c r="AC549" s="67" t="str">
        <f t="shared" si="499"/>
        <v>-0,0021722660340049+0,0798602664246235i</v>
      </c>
      <c r="AD549" s="68">
        <f t="shared" si="500"/>
        <v>-21.9501728117505</v>
      </c>
      <c r="AE549" s="31">
        <f t="shared" si="501"/>
        <v>91.5581089210236</v>
      </c>
      <c r="AF549" s="32" t="str">
        <f t="shared" si="502"/>
        <v>75,4669735059805</v>
      </c>
      <c r="AG549" s="32" t="str">
        <f t="shared" si="484"/>
        <v>1+2405,36584782349i</v>
      </c>
      <c r="AH549" s="32">
        <f t="shared" si="503"/>
        <v>2405.36605569207</v>
      </c>
      <c r="AI549" s="32">
        <f t="shared" si="504"/>
        <v>1.57038058964485</v>
      </c>
      <c r="AJ549" s="32" t="str">
        <f t="shared" si="485"/>
        <v>1+2,56572357101172i</v>
      </c>
      <c r="AK549" s="32">
        <f t="shared" si="505"/>
        <v>2.75371339155787</v>
      </c>
      <c r="AL549" s="32">
        <f t="shared" si="506"/>
        <v>1.19915414056799</v>
      </c>
      <c r="AM549" s="32" t="str">
        <f t="shared" si="486"/>
        <v>1-28,6856615812786i</v>
      </c>
      <c r="AN549" s="32">
        <f t="shared" si="507"/>
        <v>28.7030865998004</v>
      </c>
      <c r="AO549" s="32">
        <f t="shared" si="508"/>
        <v>-1.5359498162958</v>
      </c>
      <c r="AP549" s="30" t="str">
        <f t="shared" si="509"/>
        <v>-0,818524889036156-2,3408561175792i</v>
      </c>
      <c r="AQ549" s="32">
        <f t="shared" si="510"/>
        <v>7.88846187069445</v>
      </c>
      <c r="AR549" s="31">
        <f t="shared" si="511"/>
        <v>-109.273150793376</v>
      </c>
      <c r="AS549" t="str">
        <f t="shared" si="487"/>
        <v>-0,000338461538461538</v>
      </c>
      <c r="AT549" t="str">
        <f t="shared" si="488"/>
        <v>2,24570086999943i</v>
      </c>
      <c r="AU549">
        <f t="shared" si="512"/>
        <v>2.24570086999943</v>
      </c>
      <c r="AV549">
        <f t="shared" si="513"/>
        <v>1.5707963267949</v>
      </c>
      <c r="AW549" t="str">
        <f t="shared" si="489"/>
        <v>1+364,468937650128i</v>
      </c>
      <c r="AX549">
        <f t="shared" si="514"/>
        <v>364.470309506567</v>
      </c>
      <c r="AY549">
        <f t="shared" si="515"/>
        <v>1.5680526156377</v>
      </c>
      <c r="AZ549" t="str">
        <f t="shared" si="490"/>
        <v>1+3181,49722805453i</v>
      </c>
      <c r="BA549">
        <f t="shared" si="516"/>
        <v>3181.49738521324</v>
      </c>
      <c r="BB549">
        <f t="shared" si="517"/>
        <v>1.57048200938539</v>
      </c>
      <c r="BC549" s="30" t="str">
        <f t="shared" si="518"/>
        <v>-3,19612910706789E-06+0,0013156051061304i</v>
      </c>
      <c r="BD549" s="32">
        <f t="shared" si="519"/>
        <v>-57.6174633601362</v>
      </c>
      <c r="BE549" s="31">
        <f t="shared" si="520"/>
        <v>90.1391940085181</v>
      </c>
      <c r="BF549" s="30" t="str">
        <f t="shared" si="521"/>
        <v>-0,000105057631442469-3,11308800822841E-06i</v>
      </c>
      <c r="BG549" s="68">
        <f t="shared" si="522"/>
        <v>-79.5676361718867</v>
      </c>
      <c r="BH549" s="31">
        <f t="shared" si="523"/>
        <v>-178.302697070458</v>
      </c>
      <c r="BI549" s="30" t="str">
        <f t="shared" si="476"/>
        <v>0,00308225837222649-0,00106937384513793i</v>
      </c>
      <c r="BJ549" s="68">
        <f t="shared" si="524"/>
        <v>-49.7290014894417</v>
      </c>
      <c r="BK549" s="31">
        <f t="shared" si="477"/>
        <v>-19.1339567848578</v>
      </c>
      <c r="BL549" s="32">
        <f t="shared" si="525"/>
        <v>-79.5676361718867</v>
      </c>
      <c r="BM549" s="31">
        <f t="shared" si="526"/>
        <v>-178.302697070458</v>
      </c>
      <c r="BO549">
        <f t="shared" si="527"/>
        <v>0</v>
      </c>
      <c r="BP549">
        <f t="shared" si="528"/>
        <v>0</v>
      </c>
    </row>
    <row r="550" spans="14:68">
      <c r="N550" s="7">
        <v>32</v>
      </c>
      <c r="O550" s="18">
        <f t="shared" si="478"/>
        <v>2089296.13085404</v>
      </c>
      <c r="P550" s="86" t="str">
        <f t="shared" si="479"/>
        <v>15</v>
      </c>
      <c r="Q550" s="4" t="str">
        <f t="shared" si="480"/>
        <v>1+3828,83513592104i</v>
      </c>
      <c r="R550" s="4">
        <f t="shared" si="491"/>
        <v>3828.83526650906</v>
      </c>
      <c r="S550" s="4">
        <f t="shared" si="492"/>
        <v>1.57053515076047</v>
      </c>
      <c r="T550" s="4" t="str">
        <f t="shared" si="481"/>
        <v>1+2,62548695034586i</v>
      </c>
      <c r="U550" s="4">
        <f t="shared" si="493"/>
        <v>2.80948068625438</v>
      </c>
      <c r="V550" s="4">
        <f t="shared" si="494"/>
        <v>1.20687907280873</v>
      </c>
      <c r="W550" t="str">
        <f t="shared" si="482"/>
        <v>1-229,730108155263i</v>
      </c>
      <c r="X550" s="4">
        <f t="shared" si="495"/>
        <v>229.732284611956</v>
      </c>
      <c r="Y550" s="4">
        <f t="shared" si="496"/>
        <v>-1.56644342028173</v>
      </c>
      <c r="Z550" t="str">
        <f t="shared" si="483"/>
        <v>-30,0411258481899+12,1897608408915i</v>
      </c>
      <c r="AA550" s="4">
        <f t="shared" si="497"/>
        <v>32.4200479886276</v>
      </c>
      <c r="AB550" s="4">
        <f t="shared" si="498"/>
        <v>2.75612282232688</v>
      </c>
      <c r="AC550" s="67" t="str">
        <f t="shared" si="499"/>
        <v>-0,00204059930380812+0,0779669077935218i</v>
      </c>
      <c r="AD550" s="68">
        <f t="shared" si="500"/>
        <v>-22.1588198674437</v>
      </c>
      <c r="AE550" s="31">
        <f t="shared" si="501"/>
        <v>91.4992391718896</v>
      </c>
      <c r="AF550" s="32" t="str">
        <f t="shared" si="502"/>
        <v>75,4669735059805</v>
      </c>
      <c r="AG550" s="32" t="str">
        <f t="shared" si="484"/>
        <v>1+2461,39401594925i</v>
      </c>
      <c r="AH550" s="32">
        <f t="shared" si="503"/>
        <v>2461.39421908616</v>
      </c>
      <c r="AI550" s="32">
        <f t="shared" si="504"/>
        <v>1.57039005297669</v>
      </c>
      <c r="AJ550" s="32" t="str">
        <f t="shared" si="485"/>
        <v>1+2,62548695034586i</v>
      </c>
      <c r="AK550" s="32">
        <f t="shared" si="505"/>
        <v>2.80948068625438</v>
      </c>
      <c r="AL550" s="32">
        <f t="shared" si="506"/>
        <v>1.20687907280873</v>
      </c>
      <c r="AM550" s="32" t="str">
        <f t="shared" si="486"/>
        <v>1-29,3538364750598i</v>
      </c>
      <c r="AN550" s="32">
        <f t="shared" si="507"/>
        <v>29.3708650843749</v>
      </c>
      <c r="AO550" s="32">
        <f t="shared" si="508"/>
        <v>-1.53674239948949</v>
      </c>
      <c r="AP550" s="30" t="str">
        <f t="shared" si="509"/>
        <v>-0,818525482458226-2,39392101551971i</v>
      </c>
      <c r="AQ550" s="32">
        <f t="shared" si="510"/>
        <v>8.06237093115112</v>
      </c>
      <c r="AR550" s="31">
        <f t="shared" si="511"/>
        <v>-108.876498659842</v>
      </c>
      <c r="AS550" t="str">
        <f t="shared" si="487"/>
        <v>-0,000338461538461538</v>
      </c>
      <c r="AT550" t="str">
        <f t="shared" si="488"/>
        <v>2,29800996302922i</v>
      </c>
      <c r="AU550">
        <f t="shared" si="512"/>
        <v>2.29800996302922</v>
      </c>
      <c r="AV550">
        <f t="shared" si="513"/>
        <v>1.5707963267949</v>
      </c>
      <c r="AW550" t="str">
        <f t="shared" si="489"/>
        <v>1+372,958509801389i</v>
      </c>
      <c r="AX550">
        <f t="shared" si="514"/>
        <v>372.959850430677</v>
      </c>
      <c r="AY550">
        <f t="shared" si="515"/>
        <v>1.56811506982572</v>
      </c>
      <c r="AZ550" t="str">
        <f t="shared" si="490"/>
        <v>1+3255,60381842886i</v>
      </c>
      <c r="BA550">
        <f t="shared" si="516"/>
        <v>3255.6039720102</v>
      </c>
      <c r="BB550">
        <f t="shared" si="517"/>
        <v>1.57048916412268</v>
      </c>
      <c r="BC550" s="30" t="str">
        <f t="shared" si="518"/>
        <v>-3,05228063536872E-06+0,00128565866348578i</v>
      </c>
      <c r="BD550" s="32">
        <f t="shared" si="519"/>
        <v>-57.8174619080019</v>
      </c>
      <c r="BE550" s="31">
        <f t="shared" si="520"/>
        <v>90.1360255833819</v>
      </c>
      <c r="BF550" s="30" t="str">
        <f t="shared" si="521"/>
        <v>-0,000100232601988199-2,86149105650171E-06i</v>
      </c>
      <c r="BG550" s="68">
        <f t="shared" si="522"/>
        <v>-79.9762817754457</v>
      </c>
      <c r="BH550" s="31">
        <f t="shared" si="523"/>
        <v>-178.364735244728</v>
      </c>
      <c r="BI550" s="30" t="str">
        <f t="shared" si="476"/>
        <v>0,00308026366278326-0,00104503745904802i</v>
      </c>
      <c r="BJ550" s="68">
        <f t="shared" si="524"/>
        <v>-49.7550909768508</v>
      </c>
      <c r="BK550" s="31">
        <f t="shared" si="477"/>
        <v>-18.7404730764604</v>
      </c>
      <c r="BL550" s="32">
        <f t="shared" si="525"/>
        <v>-79.9762817754457</v>
      </c>
      <c r="BM550" s="31">
        <f t="shared" si="526"/>
        <v>-178.364735244728</v>
      </c>
      <c r="BO550">
        <f t="shared" si="527"/>
        <v>0</v>
      </c>
      <c r="BP550">
        <f t="shared" si="528"/>
        <v>0</v>
      </c>
    </row>
    <row r="551" spans="14:68">
      <c r="N551" s="7">
        <v>33</v>
      </c>
      <c r="O551" s="18">
        <f t="shared" si="478"/>
        <v>2137962.08950224</v>
      </c>
      <c r="P551" s="86" t="str">
        <f t="shared" si="479"/>
        <v>15</v>
      </c>
      <c r="Q551" s="4" t="str">
        <f t="shared" si="480"/>
        <v>1+3918,02016318632i</v>
      </c>
      <c r="R551" s="4">
        <f t="shared" si="491"/>
        <v>3918.02029080179</v>
      </c>
      <c r="S551" s="4">
        <f t="shared" si="492"/>
        <v>1.57054109585257</v>
      </c>
      <c r="T551" s="4" t="str">
        <f t="shared" si="481"/>
        <v>1+2,68664239761348i</v>
      </c>
      <c r="U551" s="4">
        <f t="shared" si="493"/>
        <v>2.8667136886432</v>
      </c>
      <c r="V551" s="4">
        <f t="shared" si="494"/>
        <v>1.21447234466901</v>
      </c>
      <c r="W551" t="str">
        <f t="shared" si="482"/>
        <v>1-235,08120979118i</v>
      </c>
      <c r="X551" s="4">
        <f t="shared" si="495"/>
        <v>235.083336706124</v>
      </c>
      <c r="Y551" s="4">
        <f t="shared" si="496"/>
        <v>-1.56654250332168</v>
      </c>
      <c r="Z551" t="str">
        <f t="shared" si="483"/>
        <v>-31,5040490392802+12,4736968460626i</v>
      </c>
      <c r="AA551" s="4">
        <f t="shared" si="497"/>
        <v>33.8835980804407</v>
      </c>
      <c r="AB551" s="4">
        <f t="shared" si="498"/>
        <v>2.76459161710883</v>
      </c>
      <c r="AC551" s="67" t="str">
        <f t="shared" si="499"/>
        <v>-0,00191759276195365+0,0761208209502082i</v>
      </c>
      <c r="AD551" s="68">
        <f t="shared" si="500"/>
        <v>-22.3671755360921</v>
      </c>
      <c r="AE551" s="31">
        <f t="shared" si="501"/>
        <v>91.4430577349134</v>
      </c>
      <c r="AF551" s="32" t="str">
        <f t="shared" si="502"/>
        <v>75,4669735059805</v>
      </c>
      <c r="AG551" s="32" t="str">
        <f t="shared" si="484"/>
        <v>1+2518,72724776264i</v>
      </c>
      <c r="AH551" s="32">
        <f t="shared" si="503"/>
        <v>2518.72744627559</v>
      </c>
      <c r="AI551" s="32">
        <f t="shared" si="504"/>
        <v>1.57039930089686</v>
      </c>
      <c r="AJ551" s="32" t="str">
        <f t="shared" si="485"/>
        <v>1+2,68664239761348i</v>
      </c>
      <c r="AK551" s="32">
        <f t="shared" si="505"/>
        <v>2.8667136886432</v>
      </c>
      <c r="AL551" s="32">
        <f t="shared" si="506"/>
        <v>1.21447234466901</v>
      </c>
      <c r="AM551" s="32" t="str">
        <f t="shared" si="486"/>
        <v>1-30,0375751614838i</v>
      </c>
      <c r="AN551" s="32">
        <f t="shared" si="507"/>
        <v>30.0542163694512</v>
      </c>
      <c r="AO551" s="32">
        <f t="shared" si="508"/>
        <v>-1.53751698264733</v>
      </c>
      <c r="AP551" s="30" t="str">
        <f t="shared" si="509"/>
        <v>-0,818526049171918-2,44825520204822i</v>
      </c>
      <c r="AQ551" s="32">
        <f t="shared" si="510"/>
        <v>8.23730975687468</v>
      </c>
      <c r="AR551" s="31">
        <f t="shared" si="511"/>
        <v>-108.486346442175</v>
      </c>
      <c r="AS551" t="str">
        <f t="shared" si="487"/>
        <v>-0,000338461538461538</v>
      </c>
      <c r="AT551" t="str">
        <f t="shared" si="488"/>
        <v>2,35153749135915i</v>
      </c>
      <c r="AU551">
        <f t="shared" si="512"/>
        <v>2.35153749135915</v>
      </c>
      <c r="AV551">
        <f t="shared" si="513"/>
        <v>1.5707963267949</v>
      </c>
      <c r="AW551" t="str">
        <f t="shared" si="489"/>
        <v>1+381,645829491234i</v>
      </c>
      <c r="AX551">
        <f t="shared" si="514"/>
        <v>381.647139604179</v>
      </c>
      <c r="AY551">
        <f t="shared" si="515"/>
        <v>1.56817610240307</v>
      </c>
      <c r="AZ551" t="str">
        <f t="shared" si="490"/>
        <v>1+3331,43657304071i</v>
      </c>
      <c r="BA551">
        <f t="shared" si="516"/>
        <v>3331.43672312611</v>
      </c>
      <c r="BB551">
        <f t="shared" si="517"/>
        <v>1.57049615599829</v>
      </c>
      <c r="BC551" s="30" t="str">
        <f t="shared" si="518"/>
        <v>-2,91490632039203E-06+0,00125639385935496i</v>
      </c>
      <c r="BD551" s="32">
        <f t="shared" si="519"/>
        <v>-58.017460521224</v>
      </c>
      <c r="BE551" s="31">
        <f t="shared" si="520"/>
        <v>90.1329292792507</v>
      </c>
      <c r="BF551" s="30" t="str">
        <f t="shared" si="521"/>
        <v>-0,0000956321424076382-2,63113683296328E-06i</v>
      </c>
      <c r="BG551" s="68">
        <f t="shared" si="522"/>
        <v>-80.384636057316</v>
      </c>
      <c r="BH551" s="31">
        <f t="shared" si="523"/>
        <v>-178.424012985836</v>
      </c>
      <c r="BI551" s="30" t="str">
        <f t="shared" si="476"/>
        <v>0,00307835872874136-0,00102125466733929i</v>
      </c>
      <c r="BJ551" s="68">
        <f t="shared" si="524"/>
        <v>-49.7801507643493</v>
      </c>
      <c r="BK551" s="31">
        <f t="shared" si="477"/>
        <v>-18.353417162924</v>
      </c>
      <c r="BL551" s="32">
        <f t="shared" si="525"/>
        <v>-80.384636057316</v>
      </c>
      <c r="BM551" s="31">
        <f t="shared" si="526"/>
        <v>-178.424012985836</v>
      </c>
      <c r="BO551">
        <f t="shared" si="527"/>
        <v>0</v>
      </c>
      <c r="BP551">
        <f t="shared" si="528"/>
        <v>0</v>
      </c>
    </row>
    <row r="552" spans="14:68">
      <c r="N552" s="7">
        <v>34</v>
      </c>
      <c r="O552" s="18">
        <f t="shared" si="478"/>
        <v>2187761.62394956</v>
      </c>
      <c r="P552" s="86" t="str">
        <f t="shared" si="479"/>
        <v>15</v>
      </c>
      <c r="Q552" s="4" t="str">
        <f t="shared" si="480"/>
        <v>1+4009,28257660327i</v>
      </c>
      <c r="R552" s="4">
        <f t="shared" si="491"/>
        <v>4009.28270131386</v>
      </c>
      <c r="S552" s="4">
        <f t="shared" si="492"/>
        <v>1.57054690561788</v>
      </c>
      <c r="T552" s="4" t="str">
        <f t="shared" si="481"/>
        <v>1+2,74922233824224i</v>
      </c>
      <c r="U552" s="4">
        <f t="shared" si="493"/>
        <v>2.92544414834571</v>
      </c>
      <c r="V552" s="4">
        <f t="shared" si="494"/>
        <v>1.22193447871079</v>
      </c>
      <c r="W552" t="str">
        <f t="shared" si="482"/>
        <v>1-240,556954596196i</v>
      </c>
      <c r="X552" s="4">
        <f t="shared" si="495"/>
        <v>240.559033097068</v>
      </c>
      <c r="Y552" s="4">
        <f t="shared" si="496"/>
        <v>-1.566639331037</v>
      </c>
      <c r="Z552" t="str">
        <f t="shared" si="483"/>
        <v>-33,0359176762767+12,7642465704104i</v>
      </c>
      <c r="AA552" s="4">
        <f t="shared" si="497"/>
        <v>35.4160676420176</v>
      </c>
      <c r="AB552" s="4">
        <f t="shared" si="498"/>
        <v>2.77288702456508</v>
      </c>
      <c r="AC552" s="67" t="str">
        <f t="shared" si="499"/>
        <v>-0,00180264596516468+0,0743207374484234i</v>
      </c>
      <c r="AD552" s="68">
        <f t="shared" si="500"/>
        <v>-22.5752455789895</v>
      </c>
      <c r="AE552" s="31">
        <f t="shared" si="501"/>
        <v>91.3894339906249</v>
      </c>
      <c r="AF552" s="32" t="str">
        <f t="shared" si="502"/>
        <v>75,4669735059805</v>
      </c>
      <c r="AG552" s="32" t="str">
        <f t="shared" si="484"/>
        <v>1+2577,3959421021i</v>
      </c>
      <c r="AH552" s="32">
        <f t="shared" si="503"/>
        <v>2577.39613609635</v>
      </c>
      <c r="AI552" s="32">
        <f t="shared" si="504"/>
        <v>1.57040833830873</v>
      </c>
      <c r="AJ552" s="32" t="str">
        <f t="shared" si="485"/>
        <v>1+2,74922233824224i</v>
      </c>
      <c r="AK552" s="32">
        <f t="shared" si="505"/>
        <v>2.92544414834571</v>
      </c>
      <c r="AL552" s="32">
        <f t="shared" si="506"/>
        <v>1.22193447871079</v>
      </c>
      <c r="AM552" s="32" t="str">
        <f t="shared" si="486"/>
        <v>1-30,7372401678528i</v>
      </c>
      <c r="AN552" s="32">
        <f t="shared" si="507"/>
        <v>30.7535027783221</v>
      </c>
      <c r="AO552" s="32">
        <f t="shared" si="508"/>
        <v>-1.53827397274359</v>
      </c>
      <c r="AP552" s="30" t="str">
        <f t="shared" si="509"/>
        <v>-0,818526590379294-2,50388748587109i</v>
      </c>
      <c r="AQ552" s="32">
        <f t="shared" si="510"/>
        <v>8.41324320031787</v>
      </c>
      <c r="AR552" s="31">
        <f t="shared" si="511"/>
        <v>-108.102687798626</v>
      </c>
      <c r="AS552" t="str">
        <f t="shared" si="487"/>
        <v>-0,000338461538461538</v>
      </c>
      <c r="AT552" t="str">
        <f t="shared" si="488"/>
        <v>2,40631183599329i</v>
      </c>
      <c r="AU552">
        <f t="shared" si="512"/>
        <v>2.40631183599329</v>
      </c>
      <c r="AV552">
        <f t="shared" si="513"/>
        <v>1.5707963267949</v>
      </c>
      <c r="AW552" t="str">
        <f t="shared" si="489"/>
        <v>1+390,535502851555i</v>
      </c>
      <c r="AX552">
        <f t="shared" si="514"/>
        <v>390.536783142788</v>
      </c>
      <c r="AY552">
        <f t="shared" si="515"/>
        <v>1.5682357457282</v>
      </c>
      <c r="AZ552" t="str">
        <f t="shared" si="490"/>
        <v>1+3409,03569942038i</v>
      </c>
      <c r="BA552">
        <f t="shared" si="516"/>
        <v>3409.03584608942</v>
      </c>
      <c r="BB552">
        <f t="shared" si="517"/>
        <v>1.57050298871941</v>
      </c>
      <c r="BC552" s="30" t="str">
        <f t="shared" si="518"/>
        <v>-2,78371478509237E-06+0,00122779517946928i</v>
      </c>
      <c r="BD552" s="32">
        <f t="shared" si="519"/>
        <v>-58.2174591968609</v>
      </c>
      <c r="BE552" s="31">
        <f t="shared" si="520"/>
        <v>90.1299034545271</v>
      </c>
      <c r="BF552" s="30" t="str">
        <f t="shared" si="521"/>
        <v>-0,0000912456251215507-2,42016776199309E-06i</v>
      </c>
      <c r="BG552" s="68">
        <f t="shared" si="522"/>
        <v>-80.7927047758504</v>
      </c>
      <c r="BH552" s="31">
        <f t="shared" si="523"/>
        <v>-178.480662554848</v>
      </c>
      <c r="BI552" s="30" t="str">
        <f t="shared" si="476"/>
        <v>0,00307653952965761-0,000998012893320496i</v>
      </c>
      <c r="BJ552" s="68">
        <f t="shared" si="524"/>
        <v>-49.804215996543</v>
      </c>
      <c r="BK552" s="31">
        <f t="shared" si="477"/>
        <v>-17.9727843440991</v>
      </c>
      <c r="BL552" s="32">
        <f t="shared" si="525"/>
        <v>-80.7927047758504</v>
      </c>
      <c r="BM552" s="31">
        <f t="shared" si="526"/>
        <v>-178.480662554848</v>
      </c>
      <c r="BO552">
        <f t="shared" si="527"/>
        <v>0</v>
      </c>
      <c r="BP552">
        <f t="shared" si="528"/>
        <v>0</v>
      </c>
    </row>
    <row r="553" spans="14:68">
      <c r="N553" s="7">
        <v>35</v>
      </c>
      <c r="O553" s="18">
        <f t="shared" si="478"/>
        <v>2238721.13856834</v>
      </c>
      <c r="P553" s="86" t="str">
        <f t="shared" si="479"/>
        <v>15</v>
      </c>
      <c r="Q553" s="4" t="str">
        <f t="shared" si="480"/>
        <v>1+4102,67076471143i</v>
      </c>
      <c r="R553" s="4">
        <f t="shared" si="491"/>
        <v>4102.67088658326</v>
      </c>
      <c r="S553" s="4">
        <f t="shared" si="492"/>
        <v>1.57055258313679</v>
      </c>
      <c r="T553" s="4" t="str">
        <f t="shared" si="481"/>
        <v>1+2,81325995294498i</v>
      </c>
      <c r="U553" s="4">
        <f t="shared" si="493"/>
        <v>2.98570453374811</v>
      </c>
      <c r="V553" s="4">
        <f t="shared" si="494"/>
        <v>1.22926610633406</v>
      </c>
      <c r="W553" t="str">
        <f t="shared" si="482"/>
        <v>1-246,160245882686i</v>
      </c>
      <c r="X553" s="4">
        <f t="shared" si="495"/>
        <v>246.162277071497</v>
      </c>
      <c r="Y553" s="4">
        <f t="shared" si="496"/>
        <v>-1.56673395475975</v>
      </c>
      <c r="Z553" t="str">
        <f t="shared" si="483"/>
        <v>-34,6399810579393+13,0615640672445i</v>
      </c>
      <c r="AA553" s="4">
        <f t="shared" si="497"/>
        <v>37.0207069567442</v>
      </c>
      <c r="AB553" s="4">
        <f t="shared" si="498"/>
        <v>2.78101180146871</v>
      </c>
      <c r="AC553" s="67" t="str">
        <f t="shared" si="499"/>
        <v>-0,00169520051179618+0,0725654223038588i</v>
      </c>
      <c r="AD553" s="68">
        <f t="shared" si="500"/>
        <v>-22.7830360038931</v>
      </c>
      <c r="AE553" s="31">
        <f t="shared" si="501"/>
        <v>91.3382430465091</v>
      </c>
      <c r="AF553" s="32" t="str">
        <f t="shared" si="502"/>
        <v>75,4669735059805</v>
      </c>
      <c r="AG553" s="32" t="str">
        <f t="shared" si="484"/>
        <v>1+2637,43120588592i</v>
      </c>
      <c r="AH553" s="32">
        <f t="shared" si="503"/>
        <v>2637.43139546432</v>
      </c>
      <c r="AI553" s="32">
        <f t="shared" si="504"/>
        <v>1.57041717000406</v>
      </c>
      <c r="AJ553" s="32" t="str">
        <f t="shared" si="485"/>
        <v>1+2,81325995294498i</v>
      </c>
      <c r="AK553" s="32">
        <f t="shared" si="505"/>
        <v>2.98570453374811</v>
      </c>
      <c r="AL553" s="32">
        <f t="shared" si="506"/>
        <v>1.22926610633406</v>
      </c>
      <c r="AM553" s="32" t="str">
        <f t="shared" si="486"/>
        <v>1-31,4532024658142i</v>
      </c>
      <c r="AN553" s="32">
        <f t="shared" si="507"/>
        <v>31.4690950832003</v>
      </c>
      <c r="AO553" s="32">
        <f t="shared" si="508"/>
        <v>-1.53901376767219</v>
      </c>
      <c r="AP553" s="30" t="str">
        <f t="shared" si="509"/>
        <v>-0,818527107228337-2,56084736396293i</v>
      </c>
      <c r="AQ553" s="32">
        <f t="shared" si="510"/>
        <v>8.59013688368979</v>
      </c>
      <c r="AR553" s="31">
        <f t="shared" si="511"/>
        <v>-107.725509624833</v>
      </c>
      <c r="AS553" t="str">
        <f t="shared" si="487"/>
        <v>-0,000338461538461538</v>
      </c>
      <c r="AT553" t="str">
        <f t="shared" si="488"/>
        <v>2,46236203901416i</v>
      </c>
      <c r="AU553">
        <f t="shared" si="512"/>
        <v>2.46236203901416</v>
      </c>
      <c r="AV553">
        <f t="shared" si="513"/>
        <v>1.5707963267949</v>
      </c>
      <c r="AW553" t="str">
        <f t="shared" si="489"/>
        <v>1+399,632243304835i</v>
      </c>
      <c r="AX553">
        <f t="shared" si="514"/>
        <v>399.633494453174</v>
      </c>
      <c r="AY553">
        <f t="shared" si="515"/>
        <v>1.56829403142311</v>
      </c>
      <c r="AZ553" t="str">
        <f t="shared" si="490"/>
        <v>1+3488,44234165177i</v>
      </c>
      <c r="BA553">
        <f t="shared" si="516"/>
        <v>3488.44248498221</v>
      </c>
      <c r="BB553">
        <f t="shared" si="517"/>
        <v>1.57050966590884</v>
      </c>
      <c r="BC553" s="30" t="str">
        <f t="shared" si="518"/>
        <v>-2,65842776584719E-06+0,00119984746259329i</v>
      </c>
      <c r="BD553" s="32">
        <f t="shared" si="519"/>
        <v>-58.4174579321035</v>
      </c>
      <c r="BE553" s="31">
        <f t="shared" si="520"/>
        <v>90.1269465049761</v>
      </c>
      <c r="BF553" s="30" t="str">
        <f t="shared" si="521"/>
        <v>-0,0000870629312551863-0,0000022268919661585i</v>
      </c>
      <c r="BG553" s="68">
        <f t="shared" si="522"/>
        <v>-81.2004939359966</v>
      </c>
      <c r="BH553" s="31">
        <f t="shared" si="523"/>
        <v>-178.534810448515</v>
      </c>
      <c r="BI553" s="30" t="str">
        <f t="shared" si="476"/>
        <v>0,00307480220692859-0,00097529984493529i</v>
      </c>
      <c r="BJ553" s="68">
        <f t="shared" si="524"/>
        <v>-49.8273210484137</v>
      </c>
      <c r="BK553" s="31">
        <f t="shared" si="477"/>
        <v>-17.5985631198573</v>
      </c>
      <c r="BL553" s="32">
        <f t="shared" si="525"/>
        <v>-81.2004939359966</v>
      </c>
      <c r="BM553" s="31">
        <f t="shared" si="526"/>
        <v>-178.534810448515</v>
      </c>
      <c r="BO553">
        <f t="shared" si="527"/>
        <v>0</v>
      </c>
      <c r="BP553">
        <f t="shared" si="528"/>
        <v>0</v>
      </c>
    </row>
    <row r="554" spans="14:68">
      <c r="N554" s="7">
        <v>36</v>
      </c>
      <c r="O554" s="18">
        <f t="shared" si="478"/>
        <v>2290867.65276778</v>
      </c>
      <c r="P554" s="86" t="str">
        <f t="shared" si="479"/>
        <v>15</v>
      </c>
      <c r="Q554" s="4" t="str">
        <f t="shared" si="480"/>
        <v>1+4198,23424316435i</v>
      </c>
      <c r="R554" s="4">
        <f t="shared" si="491"/>
        <v>4198.23436226204</v>
      </c>
      <c r="S554" s="4">
        <f t="shared" si="492"/>
        <v>1.57055813141961</v>
      </c>
      <c r="T554" s="4" t="str">
        <f t="shared" si="481"/>
        <v>1+2,8787891953127i</v>
      </c>
      <c r="U554" s="4">
        <f t="shared" si="493"/>
        <v>3.04752805254507</v>
      </c>
      <c r="V554" s="4">
        <f t="shared" si="494"/>
        <v>1.23646796113948</v>
      </c>
      <c r="W554" t="str">
        <f t="shared" si="482"/>
        <v>1-251,894054589861i</v>
      </c>
      <c r="X554" s="4">
        <f t="shared" si="495"/>
        <v>251.896039543538</v>
      </c>
      <c r="Y554" s="4">
        <f t="shared" si="496"/>
        <v>-1.5668264246539</v>
      </c>
      <c r="Z554" t="str">
        <f t="shared" si="483"/>
        <v>-36,3196416177621+13,3658069782375i</v>
      </c>
      <c r="AA554" s="4">
        <f t="shared" si="497"/>
        <v>38.7009194131377</v>
      </c>
      <c r="AB554" s="4">
        <f t="shared" si="498"/>
        <v>2.78896871079175</v>
      </c>
      <c r="AC554" s="67" t="str">
        <f t="shared" si="499"/>
        <v>-0,00159473722962915+0,0708536736729369i</v>
      </c>
      <c r="AD554" s="68">
        <f t="shared" si="500"/>
        <v>-22.9905530246399</v>
      </c>
      <c r="AE554" s="31">
        <f t="shared" si="501"/>
        <v>91.2893655814906</v>
      </c>
      <c r="AF554" s="32" t="str">
        <f t="shared" si="502"/>
        <v>75,4669735059805</v>
      </c>
      <c r="AG554" s="32" t="str">
        <f t="shared" si="484"/>
        <v>1+2698,86487060566i</v>
      </c>
      <c r="AH554" s="32">
        <f t="shared" si="503"/>
        <v>2698.86505586873</v>
      </c>
      <c r="AI554" s="32">
        <f t="shared" si="504"/>
        <v>1.57042580066551</v>
      </c>
      <c r="AJ554" s="32" t="str">
        <f t="shared" si="485"/>
        <v>1+2,8787891953127i</v>
      </c>
      <c r="AK554" s="32">
        <f t="shared" si="505"/>
        <v>3.04752805254507</v>
      </c>
      <c r="AL554" s="32">
        <f t="shared" si="506"/>
        <v>1.23646796113948</v>
      </c>
      <c r="AM554" s="32" t="str">
        <f t="shared" si="486"/>
        <v>1-32,1858416680556i</v>
      </c>
      <c r="AN554" s="32">
        <f t="shared" si="507"/>
        <v>32.2013727018142</v>
      </c>
      <c r="AO554" s="32">
        <f t="shared" si="508"/>
        <v>-1.53973675644125</v>
      </c>
      <c r="AP554" s="30" t="str">
        <f t="shared" si="509"/>
        <v>-0,818527600815344-2,61916503720633i</v>
      </c>
      <c r="AQ554" s="32">
        <f t="shared" si="510"/>
        <v>8.76795721676664</v>
      </c>
      <c r="AR554" s="31">
        <f t="shared" si="511"/>
        <v>-107.354792445395</v>
      </c>
      <c r="AS554" t="str">
        <f t="shared" si="487"/>
        <v>-0,000338461538461538</v>
      </c>
      <c r="AT554" t="str">
        <f t="shared" si="488"/>
        <v>2,51971781898134i</v>
      </c>
      <c r="AU554">
        <f t="shared" si="512"/>
        <v>2.51971781898134</v>
      </c>
      <c r="AV554">
        <f t="shared" si="513"/>
        <v>1.5707963267949</v>
      </c>
      <c r="AW554" t="str">
        <f t="shared" si="489"/>
        <v>1+408,940874063278i</v>
      </c>
      <c r="AX554">
        <f t="shared" si="514"/>
        <v>408.94209673209</v>
      </c>
      <c r="AY554">
        <f t="shared" si="515"/>
        <v>1.56835099039005</v>
      </c>
      <c r="AZ554" t="str">
        <f t="shared" si="490"/>
        <v>1+3569,69860218775i</v>
      </c>
      <c r="BA554">
        <f t="shared" si="516"/>
        <v>3569.69874225559</v>
      </c>
      <c r="BB554">
        <f t="shared" si="517"/>
        <v>1.57051619110691</v>
      </c>
      <c r="BC554" s="30" t="str">
        <f t="shared" si="518"/>
        <v>-2,53877952231744E-06+0,00117253589249633i</v>
      </c>
      <c r="BD554" s="32">
        <f t="shared" si="519"/>
        <v>-58.6174567242693</v>
      </c>
      <c r="BE554" s="31">
        <f t="shared" si="520"/>
        <v>90.1240568628744</v>
      </c>
      <c r="BF554" s="30" t="str">
        <f t="shared" si="521"/>
        <v>-0,0000830744268105187-2,04976849664215E-06i</v>
      </c>
      <c r="BG554" s="68">
        <f t="shared" si="522"/>
        <v>-81.6080097489092</v>
      </c>
      <c r="BH554" s="31">
        <f t="shared" si="523"/>
        <v>-178.586577555635</v>
      </c>
      <c r="BI554" s="30" t="str">
        <f t="shared" si="476"/>
        <v>0,00307314307560731-0,00095310350839287i</v>
      </c>
      <c r="BJ554" s="68">
        <f t="shared" si="524"/>
        <v>-49.8494995075027</v>
      </c>
      <c r="BK554" s="31">
        <f t="shared" si="477"/>
        <v>-17.2307355825209</v>
      </c>
      <c r="BL554" s="32">
        <f t="shared" si="525"/>
        <v>-81.6080097489092</v>
      </c>
      <c r="BM554" s="31">
        <f t="shared" si="526"/>
        <v>-178.586577555635</v>
      </c>
      <c r="BO554">
        <f t="shared" si="527"/>
        <v>0</v>
      </c>
      <c r="BP554">
        <f t="shared" si="528"/>
        <v>0</v>
      </c>
    </row>
    <row r="555" spans="14:68">
      <c r="N555" s="7">
        <v>37</v>
      </c>
      <c r="O555" s="18">
        <f t="shared" si="478"/>
        <v>2344228.81531993</v>
      </c>
      <c r="P555" s="86" t="str">
        <f t="shared" si="479"/>
        <v>15</v>
      </c>
      <c r="Q555" s="4" t="str">
        <f t="shared" si="480"/>
        <v>1+4296,02368098318i</v>
      </c>
      <c r="R555" s="4">
        <f t="shared" si="491"/>
        <v>4296.02379736987</v>
      </c>
      <c r="S555" s="4">
        <f t="shared" si="492"/>
        <v>1.57056355340811</v>
      </c>
      <c r="T555" s="4" t="str">
        <f t="shared" si="481"/>
        <v>1+2,94584480981704i</v>
      </c>
      <c r="U555" s="4">
        <f t="shared" si="493"/>
        <v>3.11094867259587</v>
      </c>
      <c r="V555" s="4">
        <f t="shared" si="494"/>
        <v>1.24354087241219</v>
      </c>
      <c r="W555" t="str">
        <f t="shared" si="482"/>
        <v>1-257,761420858991i</v>
      </c>
      <c r="X555" s="4">
        <f t="shared" si="495"/>
        <v>257.76336062995</v>
      </c>
      <c r="Y555" s="4">
        <f t="shared" si="496"/>
        <v>-1.56691678974189</v>
      </c>
      <c r="Z555" t="str">
        <f t="shared" si="483"/>
        <v>-38,0784621409871+13,6771366170076i</v>
      </c>
      <c r="AA555" s="4">
        <f t="shared" si="497"/>
        <v>40.4602687220794</v>
      </c>
      <c r="AB555" s="4">
        <f t="shared" si="498"/>
        <v>2.79676051798671</v>
      </c>
      <c r="AC555" s="67" t="str">
        <f t="shared" si="499"/>
        <v>-0,00150077352744457+0,0691843224481212i</v>
      </c>
      <c r="AD555" s="68">
        <f t="shared" si="500"/>
        <v>-23.1978030236299</v>
      </c>
      <c r="AE555" s="31">
        <f t="shared" si="501"/>
        <v>91.2426876840226</v>
      </c>
      <c r="AF555" s="32" t="str">
        <f t="shared" si="502"/>
        <v>75,4669735059805</v>
      </c>
      <c r="AG555" s="32" t="str">
        <f t="shared" si="484"/>
        <v>1+2761,72950920348i</v>
      </c>
      <c r="AH555" s="32">
        <f t="shared" si="503"/>
        <v>2761.72969024944</v>
      </c>
      <c r="AI555" s="32">
        <f t="shared" si="504"/>
        <v>1.57043423486918</v>
      </c>
      <c r="AJ555" s="32" t="str">
        <f t="shared" si="485"/>
        <v>1+2,94584480981704i</v>
      </c>
      <c r="AK555" s="32">
        <f t="shared" si="505"/>
        <v>3.11094867259587</v>
      </c>
      <c r="AL555" s="32">
        <f t="shared" si="506"/>
        <v>1.24354087241219</v>
      </c>
      <c r="AM555" s="32" t="str">
        <f t="shared" si="486"/>
        <v>1-32,9355462295792i</v>
      </c>
      <c r="AN555" s="32">
        <f t="shared" si="507"/>
        <v>32.9507238985845</v>
      </c>
      <c r="AO555" s="32">
        <f t="shared" si="508"/>
        <v>-1.54044331936393</v>
      </c>
      <c r="AP555" s="30" t="str">
        <f t="shared" si="509"/>
        <v>-0,818528072187283-2,67887142640473i</v>
      </c>
      <c r="AQ555" s="32">
        <f t="shared" si="510"/>
        <v>8.94667141124912</v>
      </c>
      <c r="AR555" s="31">
        <f t="shared" si="511"/>
        <v>-106.990510798302</v>
      </c>
      <c r="AS555" t="str">
        <f t="shared" si="487"/>
        <v>-0,000338461538461538</v>
      </c>
      <c r="AT555" t="str">
        <f t="shared" si="488"/>
        <v>2,57840958668855i</v>
      </c>
      <c r="AU555">
        <f t="shared" si="512"/>
        <v>2.57840958668855</v>
      </c>
      <c r="AV555">
        <f t="shared" si="513"/>
        <v>1.5707963267949</v>
      </c>
      <c r="AW555" t="str">
        <f t="shared" si="489"/>
        <v>1+418,466330686119i</v>
      </c>
      <c r="AX555">
        <f t="shared" si="514"/>
        <v>418.467525523671</v>
      </c>
      <c r="AY555">
        <f t="shared" si="515"/>
        <v>1.56840665282795</v>
      </c>
      <c r="AZ555" t="str">
        <f t="shared" si="490"/>
        <v>1+3652,84756417313i</v>
      </c>
      <c r="BA555">
        <f t="shared" si="516"/>
        <v>3652.84770105264</v>
      </c>
      <c r="BB555">
        <f t="shared" si="517"/>
        <v>1.57052256777335</v>
      </c>
      <c r="BC555" s="30" t="str">
        <f t="shared" si="518"/>
        <v>-2,42451627386374E-06+0,00114584599010649i</v>
      </c>
      <c r="BD555" s="32">
        <f t="shared" si="519"/>
        <v>-58.8174555707962</v>
      </c>
      <c r="BE555" s="31">
        <f t="shared" si="520"/>
        <v>90.1212329961804</v>
      </c>
      <c r="BF555" s="30" t="str">
        <f t="shared" si="521"/>
        <v>-0,0000792709398055734-1,88739384415204E-06i</v>
      </c>
      <c r="BG555" s="68">
        <f t="shared" si="522"/>
        <v>-82.0152585944261</v>
      </c>
      <c r="BH555" s="31">
        <f t="shared" si="523"/>
        <v>-178.636079319797</v>
      </c>
      <c r="BI555" s="30" t="str">
        <f t="shared" si="476"/>
        <v>0,00307155861658835-0,000931412141936487i</v>
      </c>
      <c r="BJ555" s="68">
        <f t="shared" si="524"/>
        <v>-49.8707841595471</v>
      </c>
      <c r="BK555" s="31">
        <f t="shared" si="477"/>
        <v>-16.8692778021219</v>
      </c>
      <c r="BL555" s="32">
        <f t="shared" si="525"/>
        <v>-82.0152585944261</v>
      </c>
      <c r="BM555" s="31">
        <f t="shared" si="526"/>
        <v>-178.636079319797</v>
      </c>
      <c r="BO555">
        <f t="shared" si="527"/>
        <v>0</v>
      </c>
      <c r="BP555">
        <f t="shared" si="528"/>
        <v>0</v>
      </c>
    </row>
    <row r="556" spans="14:68">
      <c r="N556" s="7">
        <v>38</v>
      </c>
      <c r="O556" s="18">
        <f t="shared" si="478"/>
        <v>2398832.91901949</v>
      </c>
      <c r="P556" s="86" t="str">
        <f t="shared" si="479"/>
        <v>15</v>
      </c>
      <c r="Q556" s="4" t="str">
        <f t="shared" si="480"/>
        <v>1+4396,09092742225i</v>
      </c>
      <c r="R556" s="4">
        <f t="shared" si="491"/>
        <v>4396.09104115966</v>
      </c>
      <c r="S556" s="4">
        <f t="shared" si="492"/>
        <v>1.5705688519771</v>
      </c>
      <c r="T556" s="4" t="str">
        <f t="shared" si="481"/>
        <v>1+3,0144623502324i</v>
      </c>
      <c r="U556" s="4">
        <f t="shared" si="493"/>
        <v>3.17600114309939</v>
      </c>
      <c r="V556" s="4">
        <f t="shared" si="494"/>
        <v>1.25048575874581</v>
      </c>
      <c r="W556" t="str">
        <f t="shared" si="482"/>
        <v>1-263,765455645335i</v>
      </c>
      <c r="X556" s="4">
        <f t="shared" si="495"/>
        <v>263.767351262038</v>
      </c>
      <c r="Y556" s="4">
        <f t="shared" si="496"/>
        <v>-1.56700509793056</v>
      </c>
      <c r="Z556" t="str">
        <f t="shared" si="483"/>
        <v>-39,9201733217536+13,9957180546504i</v>
      </c>
      <c r="AA556" s="4">
        <f t="shared" si="497"/>
        <v>42.3024864742501</v>
      </c>
      <c r="AB556" s="4">
        <f t="shared" si="498"/>
        <v>2.80438998749566</v>
      </c>
      <c r="AC556" s="67" t="str">
        <f t="shared" si="499"/>
        <v>-0,00141286090418268+0,0675562317818668i</v>
      </c>
      <c r="AD556" s="68">
        <f t="shared" si="500"/>
        <v>-23.4047925170935</v>
      </c>
      <c r="AE556" s="31">
        <f t="shared" si="501"/>
        <v>91.1981006852022</v>
      </c>
      <c r="AF556" s="32" t="str">
        <f t="shared" si="502"/>
        <v>75,4669735059805</v>
      </c>
      <c r="AG556" s="32" t="str">
        <f t="shared" si="484"/>
        <v>1+2826,05845334288i</v>
      </c>
      <c r="AH556" s="32">
        <f t="shared" si="503"/>
        <v>2826.05863026774</v>
      </c>
      <c r="AI556" s="32">
        <f t="shared" si="504"/>
        <v>1.57044247708698</v>
      </c>
      <c r="AJ556" s="32" t="str">
        <f t="shared" si="485"/>
        <v>1+3,0144623502324i</v>
      </c>
      <c r="AK556" s="32">
        <f t="shared" si="505"/>
        <v>3.17600114309939</v>
      </c>
      <c r="AL556" s="32">
        <f t="shared" si="506"/>
        <v>1.25048575874581</v>
      </c>
      <c r="AM556" s="32" t="str">
        <f t="shared" si="486"/>
        <v>1-33,7027136536671i</v>
      </c>
      <c r="AN556" s="32">
        <f t="shared" si="507"/>
        <v>33.717545990494</v>
      </c>
      <c r="AO556" s="32">
        <f t="shared" si="508"/>
        <v>-1.54113382824573</v>
      </c>
      <c r="AP556" s="30" t="str">
        <f t="shared" si="509"/>
        <v>-0,818528522343995-2,73999818867709i</v>
      </c>
      <c r="AQ556" s="32">
        <f t="shared" si="510"/>
        <v>9.12624749187041</v>
      </c>
      <c r="AR556" s="31">
        <f t="shared" si="511"/>
        <v>-106.632633611125</v>
      </c>
      <c r="AS556" t="str">
        <f t="shared" si="487"/>
        <v>-0,000338461538461538</v>
      </c>
      <c r="AT556" t="str">
        <f t="shared" si="488"/>
        <v>2,63846846128791i</v>
      </c>
      <c r="AU556">
        <f t="shared" si="512"/>
        <v>2.63846846128791</v>
      </c>
      <c r="AV556">
        <f t="shared" si="513"/>
        <v>1.5707963267949</v>
      </c>
      <c r="AW556" t="str">
        <f t="shared" si="489"/>
        <v>1+428,213663696545i</v>
      </c>
      <c r="AX556">
        <f t="shared" si="514"/>
        <v>428.214831336349</v>
      </c>
      <c r="AY556">
        <f t="shared" si="515"/>
        <v>1.56846104824838</v>
      </c>
      <c r="AZ556" t="str">
        <f t="shared" si="490"/>
        <v>1+3737,93331428817i</v>
      </c>
      <c r="BA556">
        <f t="shared" si="516"/>
        <v>3737.93344805192</v>
      </c>
      <c r="BB556">
        <f t="shared" si="517"/>
        <v>1.57052879928917</v>
      </c>
      <c r="BC556" s="30" t="str">
        <f t="shared" si="518"/>
        <v>-2,31539566132245E-06+0,00111976360584251i</v>
      </c>
      <c r="BD556" s="32">
        <f t="shared" si="519"/>
        <v>-59.0174544692377</v>
      </c>
      <c r="BE556" s="31">
        <f t="shared" si="520"/>
        <v>90.1184734077213</v>
      </c>
      <c r="BF556" s="30" t="str">
        <f t="shared" si="521"/>
        <v>-0,000075643738365188-1,73848962658454E-06i</v>
      </c>
      <c r="BG556" s="68">
        <f t="shared" si="522"/>
        <v>-82.4222469863312</v>
      </c>
      <c r="BH556" s="31">
        <f t="shared" si="523"/>
        <v>-178.683425907076</v>
      </c>
      <c r="BI556" s="30" t="str">
        <f t="shared" si="476"/>
        <v>0,00307004546914431-0,000910214269746759i</v>
      </c>
      <c r="BJ556" s="68">
        <f t="shared" si="524"/>
        <v>-49.8912069773673</v>
      </c>
      <c r="BK556" s="31">
        <f t="shared" si="477"/>
        <v>-16.5141602034037</v>
      </c>
      <c r="BL556" s="32">
        <f t="shared" si="525"/>
        <v>-82.4222469863312</v>
      </c>
      <c r="BM556" s="31">
        <f t="shared" si="526"/>
        <v>-178.683425907076</v>
      </c>
      <c r="BO556">
        <f t="shared" si="527"/>
        <v>0</v>
      </c>
      <c r="BP556">
        <f t="shared" si="528"/>
        <v>0</v>
      </c>
    </row>
    <row r="557" spans="14:68">
      <c r="N557" s="7">
        <v>39</v>
      </c>
      <c r="O557" s="18">
        <f t="shared" si="478"/>
        <v>2454708.91568503</v>
      </c>
      <c r="P557" s="86" t="str">
        <f t="shared" si="479"/>
        <v>15</v>
      </c>
      <c r="Q557" s="4" t="str">
        <f t="shared" si="480"/>
        <v>1+4498,48903946018i</v>
      </c>
      <c r="R557" s="4">
        <f t="shared" si="491"/>
        <v>4498.48915060861</v>
      </c>
      <c r="S557" s="4">
        <f t="shared" si="492"/>
        <v>1.57057402993594</v>
      </c>
      <c r="T557" s="4" t="str">
        <f t="shared" si="481"/>
        <v>1+3,08467819848698i</v>
      </c>
      <c r="U557" s="4">
        <f t="shared" si="493"/>
        <v>3.24272101609449</v>
      </c>
      <c r="V557" s="4">
        <f t="shared" si="494"/>
        <v>1.25730362182287</v>
      </c>
      <c r="W557" t="str">
        <f t="shared" si="482"/>
        <v>1-269,909342367611i</v>
      </c>
      <c r="X557" s="4">
        <f t="shared" si="495"/>
        <v>269.911194835109</v>
      </c>
      <c r="Y557" s="4">
        <f t="shared" si="496"/>
        <v>-1.56709139603659</v>
      </c>
      <c r="Z557" t="str">
        <f t="shared" si="483"/>
        <v>-41,8486816763989+14,3217202072609i</v>
      </c>
      <c r="AA557" s="4">
        <f t="shared" si="497"/>
        <v>44.2314800537765</v>
      </c>
      <c r="AB557" s="4">
        <f t="shared" si="498"/>
        <v>2.81185987948059</v>
      </c>
      <c r="AC557" s="67" t="str">
        <f t="shared" si="499"/>
        <v>-0,00133058260926205+0,0659682965502562i</v>
      </c>
      <c r="AD557" s="68">
        <f t="shared" si="500"/>
        <v>-23.611528123045</v>
      </c>
      <c r="AE557" s="31">
        <f t="shared" si="501"/>
        <v>91.1555009882172</v>
      </c>
      <c r="AF557" s="32" t="str">
        <f t="shared" si="502"/>
        <v>75,4669735059805</v>
      </c>
      <c r="AG557" s="32" t="str">
        <f t="shared" si="484"/>
        <v>1+2891,88581108155i</v>
      </c>
      <c r="AH557" s="32">
        <f t="shared" si="503"/>
        <v>2891.8859839791</v>
      </c>
      <c r="AI557" s="32">
        <f t="shared" si="504"/>
        <v>1.57045053168905</v>
      </c>
      <c r="AJ557" s="32" t="str">
        <f t="shared" si="485"/>
        <v>1+3,08467819848698i</v>
      </c>
      <c r="AK557" s="32">
        <f t="shared" si="505"/>
        <v>3.24272101609449</v>
      </c>
      <c r="AL557" s="32">
        <f t="shared" si="506"/>
        <v>1.25730362182287</v>
      </c>
      <c r="AM557" s="32" t="str">
        <f t="shared" si="486"/>
        <v>1-34,4877507026424i</v>
      </c>
      <c r="AN557" s="32">
        <f t="shared" si="507"/>
        <v>34.5022455577548</v>
      </c>
      <c r="AO557" s="32">
        <f t="shared" si="508"/>
        <v>-1.54180864656819</v>
      </c>
      <c r="AP557" s="30" t="str">
        <f t="shared" si="509"/>
        <v>-0,818528952240323-2,80257773424291i</v>
      </c>
      <c r="AQ557" s="32">
        <f t="shared" si="510"/>
        <v>9.3066543044597</v>
      </c>
      <c r="AR557" s="31">
        <f t="shared" si="511"/>
        <v>-106.281124568031</v>
      </c>
      <c r="AS557" t="str">
        <f t="shared" si="487"/>
        <v>-0,000338461538461538</v>
      </c>
      <c r="AT557" t="str">
        <f t="shared" si="488"/>
        <v>2,6999262867897i</v>
      </c>
      <c r="AU557">
        <f t="shared" si="512"/>
        <v>2.6999262867897</v>
      </c>
      <c r="AV557">
        <f t="shared" si="513"/>
        <v>1.5707963267949</v>
      </c>
      <c r="AW557" t="str">
        <f t="shared" si="489"/>
        <v>1+438,188041259541i</v>
      </c>
      <c r="AX557">
        <f t="shared" si="514"/>
        <v>438.189182320688</v>
      </c>
      <c r="AY557">
        <f t="shared" si="515"/>
        <v>1.56851420549122</v>
      </c>
      <c r="AZ557" t="str">
        <f t="shared" si="490"/>
        <v>1+3825,00096612385i</v>
      </c>
      <c r="BA557">
        <f t="shared" si="516"/>
        <v>3825.00109684277</v>
      </c>
      <c r="BB557">
        <f t="shared" si="517"/>
        <v>1.57053488895839</v>
      </c>
      <c r="BC557" s="30" t="str">
        <f t="shared" si="518"/>
        <v>-2,21118623300184E-06+0,00109427491211997i</v>
      </c>
      <c r="BD557" s="32">
        <f t="shared" si="519"/>
        <v>-59.2174534172572</v>
      </c>
      <c r="BE557" s="31">
        <f t="shared" si="520"/>
        <v>90.1157766344006</v>
      </c>
      <c r="BF557" s="30" t="str">
        <f t="shared" si="521"/>
        <v>-0,0000721845097442882-0,0000016018913569651i</v>
      </c>
      <c r="BG557" s="68">
        <f t="shared" si="522"/>
        <v>-82.8289815403022</v>
      </c>
      <c r="BH557" s="31">
        <f t="shared" si="523"/>
        <v>-178.728722377382</v>
      </c>
      <c r="BI557" s="30" t="str">
        <f t="shared" si="476"/>
        <v>0,00306860042379855-0,000889498675977555i</v>
      </c>
      <c r="BJ557" s="68">
        <f t="shared" si="524"/>
        <v>-49.9107991127975</v>
      </c>
      <c r="BK557" s="31">
        <f t="shared" si="477"/>
        <v>-16.16534793363</v>
      </c>
      <c r="BL557" s="32">
        <f t="shared" si="525"/>
        <v>-82.8289815403022</v>
      </c>
      <c r="BM557" s="31">
        <f t="shared" si="526"/>
        <v>-178.728722377382</v>
      </c>
      <c r="BO557">
        <f t="shared" si="527"/>
        <v>0</v>
      </c>
      <c r="BP557">
        <f t="shared" si="528"/>
        <v>0</v>
      </c>
    </row>
    <row r="558" spans="14:68">
      <c r="N558" s="7">
        <v>40</v>
      </c>
      <c r="O558" s="18">
        <f t="shared" si="478"/>
        <v>2511886.43150959</v>
      </c>
      <c r="P558" s="86" t="str">
        <f t="shared" si="479"/>
        <v>15</v>
      </c>
      <c r="Q558" s="4" t="str">
        <f t="shared" si="480"/>
        <v>1+4603,2723099314i</v>
      </c>
      <c r="R558" s="4">
        <f t="shared" si="491"/>
        <v>4603.27241854978</v>
      </c>
      <c r="S558" s="4">
        <f t="shared" si="492"/>
        <v>1.57057909003006</v>
      </c>
      <c r="T558" s="4" t="str">
        <f t="shared" si="481"/>
        <v>1+3,15652958395296i</v>
      </c>
      <c r="U558" s="4">
        <f t="shared" si="493"/>
        <v>3.31114466829377</v>
      </c>
      <c r="V558" s="4">
        <f t="shared" si="494"/>
        <v>1.26399554036588</v>
      </c>
      <c r="W558" t="str">
        <f t="shared" si="482"/>
        <v>1-276,196338595884i</v>
      </c>
      <c r="X558" s="4">
        <f t="shared" si="495"/>
        <v>276.198148896353</v>
      </c>
      <c r="Y558" s="4">
        <f t="shared" si="496"/>
        <v>-1.56717572981122</v>
      </c>
      <c r="Z558" t="str">
        <f t="shared" si="483"/>
        <v>-43,868077829703+14,6553159254958i</v>
      </c>
      <c r="AA558" s="4">
        <f t="shared" si="497"/>
        <v>46.2513409248745</v>
      </c>
      <c r="AB558" s="4">
        <f t="shared" si="498"/>
        <v>2.81917294676811</v>
      </c>
      <c r="AC558" s="67" t="str">
        <f t="shared" si="499"/>
        <v>-0,00125355144749294+0,0644194427662663i</v>
      </c>
      <c r="AD558" s="68">
        <f t="shared" si="500"/>
        <v>-23.818016531824</v>
      </c>
      <c r="AE558" s="31">
        <f t="shared" si="501"/>
        <v>91.1147898953132</v>
      </c>
      <c r="AF558" s="32" t="str">
        <f t="shared" si="502"/>
        <v>75,4669735059805</v>
      </c>
      <c r="AG558" s="32" t="str">
        <f t="shared" si="484"/>
        <v>1+2959,2464849559i</v>
      </c>
      <c r="AH558" s="32">
        <f t="shared" si="503"/>
        <v>2959.24665391783</v>
      </c>
      <c r="AI558" s="32">
        <f t="shared" si="504"/>
        <v>1.57045840294603</v>
      </c>
      <c r="AJ558" s="32" t="str">
        <f t="shared" si="485"/>
        <v>1+3,15652958395296i</v>
      </c>
      <c r="AK558" s="32">
        <f t="shared" si="505"/>
        <v>3.31114466829377</v>
      </c>
      <c r="AL558" s="32">
        <f t="shared" si="506"/>
        <v>1.26399554036588</v>
      </c>
      <c r="AM558" s="32" t="str">
        <f t="shared" si="486"/>
        <v>1-35,2910736135397i</v>
      </c>
      <c r="AN558" s="32">
        <f t="shared" si="507"/>
        <v>35.3052386593871</v>
      </c>
      <c r="AO558" s="32">
        <f t="shared" si="508"/>
        <v>-1.54246812966914</v>
      </c>
      <c r="AP558" s="30" t="str">
        <f t="shared" si="509"/>
        <v>-0,818529362788136-2,86664324360656i</v>
      </c>
      <c r="AQ558" s="32">
        <f t="shared" si="510"/>
        <v>9.48786152116588</v>
      </c>
      <c r="AR558" s="31">
        <f t="shared" si="511"/>
        <v>-105.93594246682</v>
      </c>
      <c r="AS558" t="str">
        <f t="shared" si="487"/>
        <v>-0,000338461538461538</v>
      </c>
      <c r="AT558" t="str">
        <f t="shared" si="488"/>
        <v>2,76281564894651i</v>
      </c>
      <c r="AU558">
        <f t="shared" si="512"/>
        <v>2.76281564894651</v>
      </c>
      <c r="AV558">
        <f t="shared" si="513"/>
        <v>1.5707963267949</v>
      </c>
      <c r="AW558" t="str">
        <f t="shared" si="489"/>
        <v>1+448,39475192212i</v>
      </c>
      <c r="AX558">
        <f t="shared" si="514"/>
        <v>448.39586700961</v>
      </c>
      <c r="AY558">
        <f t="shared" si="515"/>
        <v>1.56856615273996</v>
      </c>
      <c r="AZ558" t="str">
        <f t="shared" si="490"/>
        <v>1+3914,09668410167i</v>
      </c>
      <c r="BA558">
        <f t="shared" si="516"/>
        <v>3914.09681184506</v>
      </c>
      <c r="BB558">
        <f t="shared" si="517"/>
        <v>1.57054084000983</v>
      </c>
      <c r="BC558" s="30" t="str">
        <f t="shared" si="518"/>
        <v>-2,11166695380772E-06+0,00106936639602746i</v>
      </c>
      <c r="BD558" s="32">
        <f t="shared" si="519"/>
        <v>-59.4174524126234</v>
      </c>
      <c r="BE558" s="31">
        <f t="shared" si="520"/>
        <v>90.1131412464222</v>
      </c>
      <c r="BF558" s="30" t="str">
        <f t="shared" si="521"/>
        <v>-0,0000688853402618928-1,47653820211276E-06i</v>
      </c>
      <c r="BG558" s="68">
        <f t="shared" si="522"/>
        <v>-83.2354689444474</v>
      </c>
      <c r="BH558" s="31">
        <f t="shared" si="523"/>
        <v>-178.772068858265</v>
      </c>
      <c r="BI558" s="30" t="str">
        <f t="shared" si="476"/>
        <v>0,00306722041551814-0,000869254398921522i</v>
      </c>
      <c r="BJ558" s="68">
        <f t="shared" si="524"/>
        <v>-49.9295908914575</v>
      </c>
      <c r="BK558" s="31">
        <f t="shared" si="477"/>
        <v>-15.8228012203977</v>
      </c>
      <c r="BL558" s="32">
        <f t="shared" si="525"/>
        <v>-83.2354689444474</v>
      </c>
      <c r="BM558" s="31">
        <f t="shared" si="526"/>
        <v>-178.772068858265</v>
      </c>
      <c r="BO558">
        <f t="shared" si="527"/>
        <v>0</v>
      </c>
      <c r="BP558">
        <f t="shared" si="528"/>
        <v>0</v>
      </c>
    </row>
    <row r="559" spans="14:68">
      <c r="N559" s="7">
        <v>41</v>
      </c>
      <c r="O559" s="18">
        <f t="shared" si="478"/>
        <v>2570395.78276887</v>
      </c>
      <c r="P559" s="86" t="str">
        <f t="shared" si="479"/>
        <v>15</v>
      </c>
      <c r="Q559" s="4" t="str">
        <f t="shared" si="480"/>
        <v>1+4710,49629631283i</v>
      </c>
      <c r="R559" s="4">
        <f t="shared" si="491"/>
        <v>4710.49640245876</v>
      </c>
      <c r="S559" s="4">
        <f t="shared" si="492"/>
        <v>1.57058403494239</v>
      </c>
      <c r="T559" s="4" t="str">
        <f t="shared" si="481"/>
        <v>1+3,23005460318594i</v>
      </c>
      <c r="U559" s="4">
        <f t="shared" si="493"/>
        <v>3.38130932325966</v>
      </c>
      <c r="V559" s="4">
        <f t="shared" si="494"/>
        <v>1.27056266427061</v>
      </c>
      <c r="W559" t="str">
        <f t="shared" si="482"/>
        <v>1-282,62977777877i</v>
      </c>
      <c r="X559" s="4">
        <f t="shared" si="495"/>
        <v>282.631546872031</v>
      </c>
      <c r="Y559" s="4">
        <f t="shared" si="496"/>
        <v>-1.56725814396454</v>
      </c>
      <c r="Z559" t="str">
        <f t="shared" si="483"/>
        <v>-45,9826451916515+14,9966820862204i</v>
      </c>
      <c r="AA559" s="4">
        <f t="shared" si="497"/>
        <v>48.3663533090564</v>
      </c>
      <c r="AB559" s="4">
        <f t="shared" si="498"/>
        <v>2.82633193200143</v>
      </c>
      <c r="AC559" s="67" t="str">
        <f t="shared" si="499"/>
        <v>-0,00118140772194589+0,0629086269516766i</v>
      </c>
      <c r="AD559" s="68">
        <f t="shared" si="500"/>
        <v>-24.0242644791125</v>
      </c>
      <c r="AE559" s="31">
        <f t="shared" si="501"/>
        <v>91.075873433364</v>
      </c>
      <c r="AF559" s="32" t="str">
        <f t="shared" si="502"/>
        <v>75,4669735059805</v>
      </c>
      <c r="AG559" s="32" t="str">
        <f t="shared" si="484"/>
        <v>1+3028,17619048682i</v>
      </c>
      <c r="AH559" s="32">
        <f t="shared" si="503"/>
        <v>3028.1763556027</v>
      </c>
      <c r="AI559" s="32">
        <f t="shared" si="504"/>
        <v>1.57046609503137</v>
      </c>
      <c r="AJ559" s="32" t="str">
        <f t="shared" si="485"/>
        <v>1+3,23005460318594i</v>
      </c>
      <c r="AK559" s="32">
        <f t="shared" si="505"/>
        <v>3.38130932325966</v>
      </c>
      <c r="AL559" s="32">
        <f t="shared" si="506"/>
        <v>1.27056266427061</v>
      </c>
      <c r="AM559" s="32" t="str">
        <f t="shared" si="486"/>
        <v>1-36,1131083187993i</v>
      </c>
      <c r="AN559" s="32">
        <f t="shared" si="507"/>
        <v>36.1269510538231</v>
      </c>
      <c r="AO559" s="32">
        <f t="shared" si="508"/>
        <v>-1.54311262491935</v>
      </c>
      <c r="AP559" s="30" t="str">
        <f t="shared" si="509"/>
        <v>-0,818529754858255-2,93222868514997i</v>
      </c>
      <c r="AQ559" s="32">
        <f t="shared" si="510"/>
        <v>9.66983964304413</v>
      </c>
      <c r="AR559" s="31">
        <f t="shared" si="511"/>
        <v>-105.597041565318</v>
      </c>
      <c r="AS559" t="str">
        <f t="shared" si="487"/>
        <v>-0,000338461538461538</v>
      </c>
      <c r="AT559" t="str">
        <f t="shared" si="488"/>
        <v>2,82716989253056i</v>
      </c>
      <c r="AU559">
        <f t="shared" si="512"/>
        <v>2.82716989253056</v>
      </c>
      <c r="AV559">
        <f t="shared" si="513"/>
        <v>1.5707963267949</v>
      </c>
      <c r="AW559" t="str">
        <f t="shared" si="489"/>
        <v>1+458,839207417371i</v>
      </c>
      <c r="AX559">
        <f t="shared" si="514"/>
        <v>458.840297122431</v>
      </c>
      <c r="AY559">
        <f t="shared" si="515"/>
        <v>1.56861691753658</v>
      </c>
      <c r="AZ559" t="str">
        <f t="shared" si="490"/>
        <v>1+4005,26770795056i</v>
      </c>
      <c r="BA559">
        <f t="shared" si="516"/>
        <v>4005.26783278616</v>
      </c>
      <c r="BB559">
        <f t="shared" si="517"/>
        <v>1.57054665559883</v>
      </c>
      <c r="BC559" s="30" t="str">
        <f t="shared" si="518"/>
        <v>-2,01662673645864E-06+0,00104502485216926i</v>
      </c>
      <c r="BD559" s="32">
        <f t="shared" si="519"/>
        <v>-59.6174514532054</v>
      </c>
      <c r="BE559" s="31">
        <f t="shared" si="520"/>
        <v>90.1105658465326</v>
      </c>
      <c r="BF559" s="30" t="str">
        <f t="shared" si="521"/>
        <v>-0,0000657386961219482-1,36146364904278E-06i</v>
      </c>
      <c r="BG559" s="68">
        <f t="shared" si="522"/>
        <v>-83.6417159323179</v>
      </c>
      <c r="BH559" s="31">
        <f t="shared" si="523"/>
        <v>-178.813560720103</v>
      </c>
      <c r="BI559" s="30" t="str">
        <f t="shared" si="476"/>
        <v>0,00306590251721354-0,000849470725303004i</v>
      </c>
      <c r="BJ559" s="68">
        <f t="shared" si="524"/>
        <v>-49.9476118101613</v>
      </c>
      <c r="BK559" s="31">
        <f t="shared" si="477"/>
        <v>-15.4864757187859</v>
      </c>
      <c r="BL559" s="32">
        <f t="shared" si="525"/>
        <v>-83.6417159323179</v>
      </c>
      <c r="BM559" s="31">
        <f t="shared" si="526"/>
        <v>-178.813560720103</v>
      </c>
      <c r="BO559">
        <f t="shared" si="527"/>
        <v>0</v>
      </c>
      <c r="BP559">
        <f t="shared" si="528"/>
        <v>0</v>
      </c>
    </row>
    <row r="560" ht="15.75" spans="14:68">
      <c r="N560" s="7">
        <v>42</v>
      </c>
      <c r="O560" s="18">
        <f t="shared" si="478"/>
        <v>2630267.99189538</v>
      </c>
      <c r="P560" s="86" t="str">
        <f t="shared" si="479"/>
        <v>15</v>
      </c>
      <c r="Q560" s="4" t="str">
        <f t="shared" si="480"/>
        <v>1+4820,21785018136i</v>
      </c>
      <c r="R560" s="4">
        <f t="shared" si="491"/>
        <v>4820.21795391111</v>
      </c>
      <c r="S560" s="4">
        <f t="shared" si="492"/>
        <v>1.57058886729478</v>
      </c>
      <c r="T560" s="4" t="str">
        <f t="shared" si="481"/>
        <v>1+3,30529224012436i</v>
      </c>
      <c r="U560" s="4">
        <f t="shared" si="493"/>
        <v>3.4532530739328</v>
      </c>
      <c r="V560" s="4">
        <f t="shared" si="494"/>
        <v>1.27700620893138</v>
      </c>
      <c r="W560" t="str">
        <f t="shared" si="482"/>
        <v>1-289,213071010882i</v>
      </c>
      <c r="X560" s="4">
        <f t="shared" si="495"/>
        <v>289.214799834907</v>
      </c>
      <c r="Y560" s="4">
        <f t="shared" si="496"/>
        <v>-1.56733868218914</v>
      </c>
      <c r="Z560" t="str">
        <f t="shared" si="483"/>
        <v>-48,1968690431245+15,3459996862916i</v>
      </c>
      <c r="AA560" s="4">
        <f t="shared" si="497"/>
        <v>50.5810032713049</v>
      </c>
      <c r="AB560" s="4">
        <f t="shared" si="498"/>
        <v>2.83333956499239</v>
      </c>
      <c r="AC560" s="74" t="str">
        <f t="shared" si="499"/>
        <v>-0,00111381730812734+0,061434835475671i</v>
      </c>
      <c r="AD560" s="75">
        <f t="shared" si="500"/>
        <v>-24.2302787213175</v>
      </c>
      <c r="AE560" s="76">
        <f t="shared" si="501"/>
        <v>91.0386621790154</v>
      </c>
      <c r="AF560" s="32" t="str">
        <f t="shared" si="502"/>
        <v>75,4669735059805</v>
      </c>
      <c r="AG560" s="32" t="str">
        <f t="shared" si="484"/>
        <v>1+3098,71147511659i</v>
      </c>
      <c r="AH560" s="32">
        <f t="shared" si="503"/>
        <v>3098.71163647398</v>
      </c>
      <c r="AI560" s="32">
        <f t="shared" si="504"/>
        <v>1.57047361202351</v>
      </c>
      <c r="AJ560" s="32" t="str">
        <f t="shared" si="485"/>
        <v>1+3,30529224012436i</v>
      </c>
      <c r="AK560" s="32">
        <f t="shared" si="505"/>
        <v>3.4532530739328</v>
      </c>
      <c r="AL560" s="32">
        <f t="shared" si="506"/>
        <v>1.27700620893138</v>
      </c>
      <c r="AM560" s="32" t="str">
        <f t="shared" si="486"/>
        <v>1-36,9542906721031i</v>
      </c>
      <c r="AN560" s="32">
        <f t="shared" si="507"/>
        <v>36.9678184246553</v>
      </c>
      <c r="AO560" s="32">
        <f t="shared" si="508"/>
        <v>-1.54374247189586</v>
      </c>
      <c r="AP560" s="69" t="str">
        <f t="shared" si="509"/>
        <v>-0,818530129282315-2,99936883314322i</v>
      </c>
      <c r="AQ560" s="73">
        <f t="shared" si="510"/>
        <v>9.85256000020525</v>
      </c>
      <c r="AR560" s="76">
        <f t="shared" si="511"/>
        <v>-105.26437191657</v>
      </c>
      <c r="AS560" t="str">
        <f t="shared" si="487"/>
        <v>-0,000338461538461538</v>
      </c>
      <c r="AT560" t="str">
        <f t="shared" si="488"/>
        <v>2,89302313901365i</v>
      </c>
      <c r="AU560">
        <f t="shared" si="512"/>
        <v>2.89302313901365</v>
      </c>
      <c r="AV560">
        <f t="shared" si="513"/>
        <v>1.5707963267949</v>
      </c>
      <c r="AW560" t="str">
        <f t="shared" si="489"/>
        <v>1+469,526945533851i</v>
      </c>
      <c r="AX560">
        <f t="shared" si="514"/>
        <v>469.528010434253</v>
      </c>
      <c r="AY560">
        <f t="shared" si="515"/>
        <v>1.56866652679621</v>
      </c>
      <c r="AZ560" t="str">
        <f t="shared" si="490"/>
        <v>1+4098,56237775421i</v>
      </c>
      <c r="BA560">
        <f t="shared" si="516"/>
        <v>4098.5624997482</v>
      </c>
      <c r="BB560">
        <f t="shared" si="517"/>
        <v>1.57055233880887</v>
      </c>
      <c r="BC560" s="69" t="str">
        <f t="shared" si="518"/>
        <v>-1,92586399379604E-06+0,00102123737567043i</v>
      </c>
      <c r="BD560" s="73">
        <f t="shared" si="519"/>
        <v>-59.817450536968</v>
      </c>
      <c r="BE560" s="76">
        <f t="shared" si="520"/>
        <v>90.1080490692807</v>
      </c>
      <c r="BF560" s="69" t="str">
        <f t="shared" si="521"/>
        <v>-0,0000627374050952695-1,25578700233565E-06i</v>
      </c>
      <c r="BG560" s="75">
        <f t="shared" si="522"/>
        <v>-84.0477292582855</v>
      </c>
      <c r="BH560" s="76">
        <f t="shared" si="523"/>
        <v>-178.853288751704</v>
      </c>
      <c r="BI560" s="69" t="str">
        <f t="shared" si="476"/>
        <v>0,00306464393353068-0,000830137184695585i</v>
      </c>
      <c r="BJ560" s="75">
        <f t="shared" si="524"/>
        <v>-49.9648905367628</v>
      </c>
      <c r="BK560" s="76">
        <f t="shared" si="477"/>
        <v>-15.156322847289</v>
      </c>
      <c r="BL560" s="73">
        <f t="shared" si="525"/>
        <v>-84.0477292582855</v>
      </c>
      <c r="BM560" s="76">
        <f t="shared" si="526"/>
        <v>-178.853288751704</v>
      </c>
    </row>
    <row r="561" spans="14:30">
      <c r="N561" s="7"/>
      <c r="P561" s="86"/>
      <c r="Q561" s="4"/>
      <c r="R561" s="4"/>
      <c r="S561" s="4"/>
      <c r="T561" s="4"/>
      <c r="U561" s="4"/>
      <c r="V561" s="4"/>
      <c r="X561" s="4"/>
      <c r="Y561" s="4"/>
      <c r="AA561" s="4"/>
      <c r="AB561" s="4"/>
      <c r="AC561" s="4"/>
      <c r="AD561" s="95"/>
    </row>
    <row r="562" spans="14:30">
      <c r="N562" s="7"/>
      <c r="P562" s="86"/>
      <c r="Q562" s="4"/>
      <c r="R562" s="4"/>
      <c r="S562" s="4"/>
      <c r="T562" s="4"/>
      <c r="U562" s="4"/>
      <c r="V562" s="4"/>
      <c r="X562" s="4"/>
      <c r="Y562" s="4"/>
      <c r="AA562" s="4"/>
      <c r="AB562" s="4"/>
      <c r="AC562" s="4"/>
      <c r="AD562" s="95"/>
    </row>
    <row r="563" spans="14:30">
      <c r="N563" s="7"/>
      <c r="P563" s="86"/>
      <c r="Q563" s="4"/>
      <c r="R563" s="4"/>
      <c r="S563" s="4"/>
      <c r="T563" s="4"/>
      <c r="U563" s="4"/>
      <c r="V563" s="4"/>
      <c r="X563" s="4"/>
      <c r="Y563" s="4"/>
      <c r="AA563" s="4"/>
      <c r="AB563" s="4"/>
      <c r="AC563" s="4"/>
      <c r="AD563" s="95"/>
    </row>
    <row r="564" spans="14:30">
      <c r="N564" s="7"/>
      <c r="P564" s="86"/>
      <c r="Q564" s="4"/>
      <c r="R564" s="4"/>
      <c r="S564" s="4"/>
      <c r="T564" s="4"/>
      <c r="U564" s="4"/>
      <c r="V564" s="4"/>
      <c r="X564" s="4"/>
      <c r="Y564" s="4"/>
      <c r="AA564" s="4"/>
      <c r="AB564" s="4"/>
      <c r="AC564" s="4"/>
      <c r="AD564" s="95"/>
    </row>
    <row r="565" spans="14:30">
      <c r="N565" s="7"/>
      <c r="P565" s="86"/>
      <c r="Q565" s="4"/>
      <c r="R565" s="4"/>
      <c r="S565" s="4"/>
      <c r="T565" s="4"/>
      <c r="U565" s="4"/>
      <c r="V565" s="4"/>
      <c r="X565" s="4"/>
      <c r="Y565" s="4"/>
      <c r="AA565" s="4"/>
      <c r="AB565" s="4"/>
      <c r="AC565" s="4"/>
      <c r="AD565" s="95"/>
    </row>
    <row r="566" spans="14:30">
      <c r="N566" s="7"/>
      <c r="P566" s="86"/>
      <c r="Q566" s="4"/>
      <c r="R566" s="4"/>
      <c r="S566" s="4"/>
      <c r="T566" s="4"/>
      <c r="U566" s="4"/>
      <c r="V566" s="4"/>
      <c r="X566" s="4"/>
      <c r="Y566" s="4"/>
      <c r="AA566" s="4"/>
      <c r="AB566" s="4"/>
      <c r="AC566" s="4"/>
      <c r="AD566" s="95"/>
    </row>
    <row r="567" spans="14:30">
      <c r="N567" s="7"/>
      <c r="P567" s="86"/>
      <c r="Q567" s="4"/>
      <c r="R567" s="4"/>
      <c r="S567" s="4"/>
      <c r="T567" s="4"/>
      <c r="U567" s="4"/>
      <c r="V567" s="4"/>
      <c r="X567" s="4"/>
      <c r="Y567" s="4"/>
      <c r="AA567" s="4"/>
      <c r="AB567" s="4"/>
      <c r="AC567" s="4"/>
      <c r="AD567" s="95"/>
    </row>
    <row r="568" spans="14:30">
      <c r="N568" s="7"/>
      <c r="P568" s="86"/>
      <c r="Q568" s="4"/>
      <c r="R568" s="4"/>
      <c r="S568" s="4"/>
      <c r="T568" s="4"/>
      <c r="U568" s="4"/>
      <c r="V568" s="4"/>
      <c r="X568" s="4"/>
      <c r="Y568" s="4"/>
      <c r="AA568" s="4"/>
      <c r="AB568" s="4"/>
      <c r="AC568" s="4"/>
      <c r="AD568" s="95"/>
    </row>
    <row r="569" spans="14:30">
      <c r="N569" s="7"/>
      <c r="P569" s="86"/>
      <c r="Q569" s="4"/>
      <c r="R569" s="4"/>
      <c r="S569" s="4"/>
      <c r="T569" s="4"/>
      <c r="U569" s="4"/>
      <c r="V569" s="4"/>
      <c r="X569" s="4"/>
      <c r="Y569" s="4"/>
      <c r="AA569" s="4"/>
      <c r="AB569" s="4"/>
      <c r="AC569" s="4"/>
      <c r="AD569" s="95"/>
    </row>
    <row r="570" spans="14:30">
      <c r="N570" s="7"/>
      <c r="P570" s="86"/>
      <c r="Q570" s="4"/>
      <c r="R570" s="4"/>
      <c r="S570" s="4"/>
      <c r="T570" s="4"/>
      <c r="U570" s="4"/>
      <c r="V570" s="4"/>
      <c r="X570" s="4"/>
      <c r="Y570" s="4"/>
      <c r="AA570" s="4"/>
      <c r="AB570" s="4"/>
      <c r="AC570" s="4"/>
      <c r="AD570" s="95"/>
    </row>
    <row r="571" spans="14:30">
      <c r="N571" s="7"/>
      <c r="P571" s="86"/>
      <c r="Q571" s="4"/>
      <c r="R571" s="4"/>
      <c r="S571" s="4"/>
      <c r="T571" s="4"/>
      <c r="U571" s="4"/>
      <c r="V571" s="4"/>
      <c r="X571" s="4"/>
      <c r="Y571" s="4"/>
      <c r="AA571" s="4"/>
      <c r="AB571" s="4"/>
      <c r="AC571" s="4"/>
      <c r="AD571" s="95"/>
    </row>
    <row r="572" spans="14:30">
      <c r="N572" s="7"/>
      <c r="P572" s="86"/>
      <c r="Q572" s="4"/>
      <c r="R572" s="4"/>
      <c r="S572" s="4"/>
      <c r="T572" s="4"/>
      <c r="U572" s="4"/>
      <c r="V572" s="4"/>
      <c r="X572" s="4"/>
      <c r="Y572" s="4"/>
      <c r="AA572" s="4"/>
      <c r="AB572" s="4"/>
      <c r="AC572" s="4"/>
      <c r="AD572" s="95"/>
    </row>
    <row r="573" spans="14:30">
      <c r="N573" s="7"/>
      <c r="P573" s="86"/>
      <c r="Q573" s="4"/>
      <c r="R573" s="4"/>
      <c r="S573" s="4"/>
      <c r="T573" s="4"/>
      <c r="U573" s="4"/>
      <c r="V573" s="4"/>
      <c r="X573" s="4"/>
      <c r="Y573" s="4"/>
      <c r="AA573" s="4"/>
      <c r="AB573" s="4"/>
      <c r="AC573" s="4"/>
      <c r="AD573" s="95"/>
    </row>
    <row r="574" spans="14:30">
      <c r="N574" s="7"/>
      <c r="P574" s="86"/>
      <c r="Q574" s="4"/>
      <c r="R574" s="4"/>
      <c r="S574" s="4"/>
      <c r="T574" s="4"/>
      <c r="U574" s="4"/>
      <c r="V574" s="4"/>
      <c r="X574" s="4"/>
      <c r="Y574" s="4"/>
      <c r="AA574" s="4"/>
      <c r="AB574" s="4"/>
      <c r="AC574" s="4"/>
      <c r="AD574" s="95"/>
    </row>
    <row r="575" spans="14:30">
      <c r="N575" s="7"/>
      <c r="P575" s="86"/>
      <c r="Q575" s="4"/>
      <c r="R575" s="4"/>
      <c r="S575" s="4"/>
      <c r="T575" s="4"/>
      <c r="U575" s="4"/>
      <c r="V575" s="4"/>
      <c r="X575" s="4"/>
      <c r="Y575" s="4"/>
      <c r="AA575" s="4"/>
      <c r="AB575" s="4"/>
      <c r="AC575" s="4"/>
      <c r="AD575" s="95"/>
    </row>
    <row r="576" spans="14:30">
      <c r="N576" s="7"/>
      <c r="P576" s="86"/>
      <c r="Q576" s="4"/>
      <c r="R576" s="4"/>
      <c r="S576" s="4"/>
      <c r="T576" s="4"/>
      <c r="U576" s="4"/>
      <c r="V576" s="4"/>
      <c r="X576" s="4"/>
      <c r="Y576" s="4"/>
      <c r="AA576" s="4"/>
      <c r="AB576" s="4"/>
      <c r="AC576" s="4"/>
      <c r="AD576" s="95"/>
    </row>
    <row r="577" spans="14:30">
      <c r="N577" s="7"/>
      <c r="P577" s="86"/>
      <c r="Q577" s="4"/>
      <c r="R577" s="4"/>
      <c r="S577" s="4"/>
      <c r="T577" s="4"/>
      <c r="U577" s="4"/>
      <c r="V577" s="4"/>
      <c r="X577" s="4"/>
      <c r="Y577" s="4"/>
      <c r="AA577" s="4"/>
      <c r="AB577" s="4"/>
      <c r="AC577" s="4"/>
      <c r="AD577" s="95"/>
    </row>
    <row r="578" spans="14:30">
      <c r="N578" s="7"/>
      <c r="P578" s="86"/>
      <c r="Q578" s="4"/>
      <c r="R578" s="4"/>
      <c r="S578" s="4"/>
      <c r="T578" s="4"/>
      <c r="U578" s="4"/>
      <c r="V578" s="4"/>
      <c r="X578" s="4"/>
      <c r="Y578" s="4"/>
      <c r="AA578" s="4"/>
      <c r="AB578" s="4"/>
      <c r="AC578" s="4"/>
      <c r="AD578" s="95"/>
    </row>
    <row r="579" spans="14:30">
      <c r="N579" s="7"/>
      <c r="P579" s="86"/>
      <c r="Q579" s="4"/>
      <c r="R579" s="4"/>
      <c r="S579" s="4"/>
      <c r="T579" s="4"/>
      <c r="U579" s="4"/>
      <c r="V579" s="4"/>
      <c r="X579" s="4"/>
      <c r="Y579" s="4"/>
      <c r="AA579" s="4"/>
      <c r="AB579" s="4"/>
      <c r="AC579" s="4"/>
      <c r="AD579" s="95"/>
    </row>
    <row r="580" spans="14:30">
      <c r="N580" s="7"/>
      <c r="P580" s="86"/>
      <c r="Q580" s="4"/>
      <c r="R580" s="4"/>
      <c r="S580" s="4"/>
      <c r="T580" s="4"/>
      <c r="U580" s="4"/>
      <c r="V580" s="4"/>
      <c r="X580" s="4"/>
      <c r="Y580" s="4"/>
      <c r="AA580" s="4"/>
      <c r="AB580" s="4"/>
      <c r="AC580" s="4"/>
      <c r="AD580" s="95"/>
    </row>
    <row r="581" spans="14:30">
      <c r="N581" s="7"/>
      <c r="P581" s="86"/>
      <c r="Q581" s="4"/>
      <c r="R581" s="4"/>
      <c r="S581" s="4"/>
      <c r="T581" s="4"/>
      <c r="U581" s="4"/>
      <c r="V581" s="4"/>
      <c r="X581" s="4"/>
      <c r="Y581" s="4"/>
      <c r="AA581" s="4"/>
      <c r="AB581" s="4"/>
      <c r="AC581" s="4"/>
      <c r="AD581" s="95"/>
    </row>
    <row r="582" spans="14:30">
      <c r="N582" s="7"/>
      <c r="P582" s="86"/>
      <c r="Q582" s="4"/>
      <c r="R582" s="4"/>
      <c r="S582" s="4"/>
      <c r="T582" s="4"/>
      <c r="U582" s="4"/>
      <c r="V582" s="4"/>
      <c r="X582" s="4"/>
      <c r="Y582" s="4"/>
      <c r="AA582" s="4"/>
      <c r="AB582" s="4"/>
      <c r="AC582" s="4"/>
      <c r="AD582" s="95"/>
    </row>
    <row r="583" spans="14:30">
      <c r="N583" s="7"/>
      <c r="P583" s="86"/>
      <c r="Q583" s="4"/>
      <c r="R583" s="4"/>
      <c r="S583" s="4"/>
      <c r="T583" s="4"/>
      <c r="U583" s="4"/>
      <c r="V583" s="4"/>
      <c r="X583" s="4"/>
      <c r="Y583" s="4"/>
      <c r="AA583" s="4"/>
      <c r="AB583" s="4"/>
      <c r="AC583" s="4"/>
      <c r="AD583" s="95"/>
    </row>
    <row r="584" spans="14:30">
      <c r="N584" s="7"/>
      <c r="P584" s="86"/>
      <c r="Q584" s="4"/>
      <c r="R584" s="4"/>
      <c r="S584" s="4"/>
      <c r="T584" s="4"/>
      <c r="U584" s="4"/>
      <c r="V584" s="4"/>
      <c r="X584" s="4"/>
      <c r="Y584" s="4"/>
      <c r="AA584" s="4"/>
      <c r="AB584" s="4"/>
      <c r="AC584" s="4"/>
      <c r="AD584" s="95"/>
    </row>
    <row r="585" spans="14:30">
      <c r="N585" s="7"/>
      <c r="P585" s="86"/>
      <c r="Q585" s="4"/>
      <c r="R585" s="4"/>
      <c r="S585" s="4"/>
      <c r="T585" s="4"/>
      <c r="U585" s="4"/>
      <c r="V585" s="4"/>
      <c r="X585" s="4"/>
      <c r="Y585" s="4"/>
      <c r="AA585" s="4"/>
      <c r="AB585" s="4"/>
      <c r="AC585" s="4"/>
      <c r="AD585" s="95"/>
    </row>
    <row r="586" spans="14:30">
      <c r="N586" s="7"/>
      <c r="P586" s="86"/>
      <c r="Q586" s="4"/>
      <c r="R586" s="4"/>
      <c r="S586" s="4"/>
      <c r="T586" s="4"/>
      <c r="U586" s="4"/>
      <c r="V586" s="4"/>
      <c r="X586" s="4"/>
      <c r="Y586" s="4"/>
      <c r="AA586" s="4"/>
      <c r="AB586" s="4"/>
      <c r="AC586" s="4"/>
      <c r="AD586" s="95"/>
    </row>
    <row r="587" spans="14:30">
      <c r="N587" s="7"/>
      <c r="P587" s="86"/>
      <c r="Q587" s="4"/>
      <c r="R587" s="4"/>
      <c r="S587" s="4"/>
      <c r="T587" s="4"/>
      <c r="U587" s="4"/>
      <c r="V587" s="4"/>
      <c r="X587" s="4"/>
      <c r="Y587" s="4"/>
      <c r="AA587" s="4"/>
      <c r="AB587" s="4"/>
      <c r="AC587" s="4"/>
      <c r="AD587" s="95"/>
    </row>
    <row r="588" spans="14:30">
      <c r="N588" s="7"/>
      <c r="P588" s="86"/>
      <c r="Q588" s="4"/>
      <c r="R588" s="4"/>
      <c r="S588" s="4"/>
      <c r="T588" s="4"/>
      <c r="U588" s="4"/>
      <c r="V588" s="4"/>
      <c r="X588" s="4"/>
      <c r="Y588" s="4"/>
      <c r="AA588" s="4"/>
      <c r="AB588" s="4"/>
      <c r="AC588" s="4"/>
      <c r="AD588" s="95"/>
    </row>
    <row r="589" spans="14:30">
      <c r="N589" s="7"/>
      <c r="P589" s="86"/>
      <c r="Q589" s="4"/>
      <c r="R589" s="4"/>
      <c r="S589" s="4"/>
      <c r="T589" s="4"/>
      <c r="U589" s="4"/>
      <c r="V589" s="4"/>
      <c r="X589" s="4"/>
      <c r="Y589" s="4"/>
      <c r="AA589" s="4"/>
      <c r="AB589" s="4"/>
      <c r="AC589" s="4"/>
      <c r="AD589" s="95"/>
    </row>
    <row r="590" spans="14:30">
      <c r="N590" s="7"/>
      <c r="P590" s="86"/>
      <c r="Q590" s="4"/>
      <c r="R590" s="4"/>
      <c r="S590" s="4"/>
      <c r="T590" s="4"/>
      <c r="U590" s="4"/>
      <c r="V590" s="4"/>
      <c r="X590" s="4"/>
      <c r="Y590" s="4"/>
      <c r="AA590" s="4"/>
      <c r="AB590" s="4"/>
      <c r="AC590" s="4"/>
      <c r="AD590" s="95"/>
    </row>
    <row r="591" spans="14:30">
      <c r="N591" s="7"/>
      <c r="P591" s="86"/>
      <c r="Q591" s="4"/>
      <c r="R591" s="4"/>
      <c r="S591" s="4"/>
      <c r="T591" s="4"/>
      <c r="U591" s="4"/>
      <c r="V591" s="4"/>
      <c r="X591" s="4"/>
      <c r="Y591" s="4"/>
      <c r="AA591" s="4"/>
      <c r="AB591" s="4"/>
      <c r="AC591" s="4"/>
      <c r="AD591" s="95"/>
    </row>
    <row r="592" spans="14:30">
      <c r="N592" s="7"/>
      <c r="P592" s="86"/>
      <c r="Q592" s="4"/>
      <c r="R592" s="4"/>
      <c r="S592" s="4"/>
      <c r="T592" s="4"/>
      <c r="U592" s="4"/>
      <c r="V592" s="4"/>
      <c r="X592" s="4"/>
      <c r="Y592" s="4"/>
      <c r="AA592" s="4"/>
      <c r="AB592" s="4"/>
      <c r="AC592" s="4"/>
      <c r="AD592" s="95"/>
    </row>
    <row r="593" spans="14:30">
      <c r="N593" s="7"/>
      <c r="P593" s="86"/>
      <c r="Q593" s="4"/>
      <c r="R593" s="4"/>
      <c r="S593" s="4"/>
      <c r="T593" s="4"/>
      <c r="U593" s="4"/>
      <c r="V593" s="4"/>
      <c r="X593" s="4"/>
      <c r="Y593" s="4"/>
      <c r="AA593" s="4"/>
      <c r="AB593" s="4"/>
      <c r="AC593" s="4"/>
      <c r="AD593" s="95"/>
    </row>
    <row r="594" spans="14:30">
      <c r="N594" s="7"/>
      <c r="P594" s="86"/>
      <c r="Q594" s="4"/>
      <c r="R594" s="4"/>
      <c r="S594" s="4"/>
      <c r="T594" s="4"/>
      <c r="U594" s="4"/>
      <c r="V594" s="4"/>
      <c r="X594" s="4"/>
      <c r="Y594" s="4"/>
      <c r="AA594" s="4"/>
      <c r="AB594" s="4"/>
      <c r="AC594" s="4"/>
      <c r="AD594" s="95"/>
    </row>
    <row r="595" spans="14:30">
      <c r="N595" s="7"/>
      <c r="P595" s="86"/>
      <c r="Q595" s="4"/>
      <c r="R595" s="4"/>
      <c r="S595" s="4"/>
      <c r="T595" s="4"/>
      <c r="U595" s="4"/>
      <c r="V595" s="4"/>
      <c r="X595" s="4"/>
      <c r="Y595" s="4"/>
      <c r="AA595" s="4"/>
      <c r="AB595" s="4"/>
      <c r="AC595" s="4"/>
      <c r="AD595" s="95"/>
    </row>
    <row r="596" spans="14:30">
      <c r="N596" s="7"/>
      <c r="P596" s="86"/>
      <c r="Q596" s="4"/>
      <c r="R596" s="4"/>
      <c r="S596" s="4"/>
      <c r="T596" s="4"/>
      <c r="U596" s="4"/>
      <c r="V596" s="4"/>
      <c r="X596" s="4"/>
      <c r="Y596" s="4"/>
      <c r="AA596" s="4"/>
      <c r="AB596" s="4"/>
      <c r="AC596" s="4"/>
      <c r="AD596" s="95"/>
    </row>
    <row r="597" spans="14:30">
      <c r="N597" s="7"/>
      <c r="P597" s="86"/>
      <c r="Q597" s="4"/>
      <c r="R597" s="4"/>
      <c r="S597" s="4"/>
      <c r="T597" s="4"/>
      <c r="U597" s="4"/>
      <c r="V597" s="4"/>
      <c r="X597" s="4"/>
      <c r="Y597" s="4"/>
      <c r="AA597" s="4"/>
      <c r="AB597" s="4"/>
      <c r="AC597" s="4"/>
      <c r="AD597" s="95"/>
    </row>
    <row r="598" spans="14:30">
      <c r="N598" s="7"/>
      <c r="P598" s="86"/>
      <c r="Q598" s="4"/>
      <c r="R598" s="4"/>
      <c r="S598" s="4"/>
      <c r="T598" s="4"/>
      <c r="U598" s="4"/>
      <c r="V598" s="4"/>
      <c r="X598" s="4"/>
      <c r="Y598" s="4"/>
      <c r="AA598" s="4"/>
      <c r="AB598" s="4"/>
      <c r="AC598" s="4"/>
      <c r="AD598" s="95"/>
    </row>
    <row r="599" spans="14:30">
      <c r="N599" s="7"/>
      <c r="P599" s="86"/>
      <c r="Q599" s="4"/>
      <c r="R599" s="4"/>
      <c r="S599" s="4"/>
      <c r="T599" s="4"/>
      <c r="U599" s="4"/>
      <c r="V599" s="4"/>
      <c r="X599" s="4"/>
      <c r="Y599" s="4"/>
      <c r="AA599" s="4"/>
      <c r="AB599" s="4"/>
      <c r="AC599" s="4"/>
      <c r="AD599" s="95"/>
    </row>
    <row r="600" spans="14:30">
      <c r="N600" s="7"/>
      <c r="P600" s="86"/>
      <c r="Q600" s="4"/>
      <c r="R600" s="4"/>
      <c r="S600" s="4"/>
      <c r="T600" s="4"/>
      <c r="U600" s="4"/>
      <c r="V600" s="4"/>
      <c r="X600" s="4"/>
      <c r="Y600" s="4"/>
      <c r="AA600" s="4"/>
      <c r="AB600" s="4"/>
      <c r="AC600" s="4"/>
      <c r="AD600" s="95"/>
    </row>
    <row r="601" spans="14:30">
      <c r="N601" s="7"/>
      <c r="P601" s="86"/>
      <c r="Q601" s="4"/>
      <c r="R601" s="4"/>
      <c r="S601" s="4"/>
      <c r="T601" s="4"/>
      <c r="U601" s="4"/>
      <c r="V601" s="4"/>
      <c r="X601" s="4"/>
      <c r="Y601" s="4"/>
      <c r="AA601" s="4"/>
      <c r="AB601" s="4"/>
      <c r="AC601" s="4"/>
      <c r="AD601" s="95"/>
    </row>
    <row r="602" spans="14:30">
      <c r="N602" s="7"/>
      <c r="P602" s="86"/>
      <c r="Q602" s="4"/>
      <c r="R602" s="4"/>
      <c r="S602" s="4"/>
      <c r="T602" s="4"/>
      <c r="U602" s="4"/>
      <c r="V602" s="4"/>
      <c r="X602" s="4"/>
      <c r="Y602" s="4"/>
      <c r="AA602" s="4"/>
      <c r="AB602" s="4"/>
      <c r="AC602" s="4"/>
      <c r="AD602" s="95"/>
    </row>
    <row r="603" spans="14:30">
      <c r="N603" s="7"/>
      <c r="P603" s="86"/>
      <c r="Q603" s="4"/>
      <c r="R603" s="4"/>
      <c r="S603" s="4"/>
      <c r="T603" s="4"/>
      <c r="U603" s="4"/>
      <c r="V603" s="4"/>
      <c r="X603" s="4"/>
      <c r="Y603" s="4"/>
      <c r="AA603" s="4"/>
      <c r="AB603" s="4"/>
      <c r="AC603" s="4"/>
      <c r="AD603" s="95"/>
    </row>
    <row r="604" spans="14:30">
      <c r="N604" s="7"/>
      <c r="P604" s="86"/>
      <c r="Q604" s="4"/>
      <c r="R604" s="4"/>
      <c r="S604" s="4"/>
      <c r="T604" s="4"/>
      <c r="U604" s="4"/>
      <c r="V604" s="4"/>
      <c r="X604" s="4"/>
      <c r="Y604" s="4"/>
      <c r="AA604" s="4"/>
      <c r="AB604" s="4"/>
      <c r="AC604" s="4"/>
      <c r="AD604" s="95"/>
    </row>
    <row r="605" spans="14:30">
      <c r="N605" s="7"/>
      <c r="P605" s="86"/>
      <c r="Q605" s="4"/>
      <c r="R605" s="4"/>
      <c r="S605" s="4"/>
      <c r="T605" s="4"/>
      <c r="U605" s="4"/>
      <c r="V605" s="4"/>
      <c r="X605" s="4"/>
      <c r="Y605" s="4"/>
      <c r="AA605" s="4"/>
      <c r="AB605" s="4"/>
      <c r="AC605" s="4"/>
      <c r="AD605" s="95"/>
    </row>
    <row r="606" spans="14:30">
      <c r="N606" s="7"/>
      <c r="P606" s="86"/>
      <c r="Q606" s="4"/>
      <c r="R606" s="4"/>
      <c r="S606" s="4"/>
      <c r="T606" s="4"/>
      <c r="U606" s="4"/>
      <c r="V606" s="4"/>
      <c r="X606" s="4"/>
      <c r="Y606" s="4"/>
      <c r="AA606" s="4"/>
      <c r="AB606" s="4"/>
      <c r="AC606" s="4"/>
      <c r="AD606" s="95"/>
    </row>
    <row r="607" spans="14:30">
      <c r="N607" s="7"/>
      <c r="P607" s="86"/>
      <c r="Q607" s="4"/>
      <c r="R607" s="4"/>
      <c r="S607" s="4"/>
      <c r="T607" s="4"/>
      <c r="U607" s="4"/>
      <c r="V607" s="4"/>
      <c r="X607" s="4"/>
      <c r="Y607" s="4"/>
      <c r="AA607" s="4"/>
      <c r="AB607" s="4"/>
      <c r="AC607" s="4"/>
      <c r="AD607" s="95"/>
    </row>
    <row r="608" spans="14:30">
      <c r="N608" s="7"/>
      <c r="P608" s="86"/>
      <c r="Q608" s="4"/>
      <c r="R608" s="4"/>
      <c r="S608" s="4"/>
      <c r="T608" s="4"/>
      <c r="U608" s="4"/>
      <c r="V608" s="4"/>
      <c r="X608" s="4"/>
      <c r="Y608" s="4"/>
      <c r="AA608" s="4"/>
      <c r="AB608" s="4"/>
      <c r="AC608" s="4"/>
      <c r="AD608" s="95"/>
    </row>
    <row r="609" spans="14:30">
      <c r="N609" s="7"/>
      <c r="P609" s="86"/>
      <c r="Q609" s="4"/>
      <c r="R609" s="4"/>
      <c r="S609" s="4"/>
      <c r="T609" s="4"/>
      <c r="U609" s="4"/>
      <c r="V609" s="4"/>
      <c r="X609" s="4"/>
      <c r="Y609" s="4"/>
      <c r="AA609" s="4"/>
      <c r="AB609" s="4"/>
      <c r="AC609" s="4"/>
      <c r="AD609" s="95"/>
    </row>
    <row r="610" spans="14:30">
      <c r="N610" s="7"/>
      <c r="P610" s="86"/>
      <c r="Q610" s="4"/>
      <c r="R610" s="4"/>
      <c r="S610" s="4"/>
      <c r="T610" s="4"/>
      <c r="U610" s="4"/>
      <c r="V610" s="4"/>
      <c r="X610" s="4"/>
      <c r="Y610" s="4"/>
      <c r="AA610" s="4"/>
      <c r="AB610" s="4"/>
      <c r="AC610" s="4"/>
      <c r="AD610" s="95"/>
    </row>
    <row r="611" spans="14:30">
      <c r="N611" s="7"/>
      <c r="P611" s="86"/>
      <c r="Q611" s="4"/>
      <c r="R611" s="4"/>
      <c r="S611" s="4"/>
      <c r="T611" s="4"/>
      <c r="U611" s="4"/>
      <c r="V611" s="4"/>
      <c r="X611" s="4"/>
      <c r="Y611" s="4"/>
      <c r="AA611" s="4"/>
      <c r="AB611" s="4"/>
      <c r="AC611" s="4"/>
      <c r="AD611" s="95"/>
    </row>
    <row r="612" spans="14:30">
      <c r="N612" s="7"/>
      <c r="P612" s="86"/>
      <c r="Q612" s="4"/>
      <c r="R612" s="4"/>
      <c r="S612" s="4"/>
      <c r="T612" s="4"/>
      <c r="U612" s="4"/>
      <c r="V612" s="4"/>
      <c r="X612" s="4"/>
      <c r="Y612" s="4"/>
      <c r="AA612" s="4"/>
      <c r="AB612" s="4"/>
      <c r="AC612" s="4"/>
      <c r="AD612" s="95"/>
    </row>
    <row r="613" spans="14:30">
      <c r="N613" s="7"/>
      <c r="P613" s="86"/>
      <c r="Q613" s="4"/>
      <c r="R613" s="4"/>
      <c r="S613" s="4"/>
      <c r="T613" s="4"/>
      <c r="U613" s="4"/>
      <c r="V613" s="4"/>
      <c r="X613" s="4"/>
      <c r="Y613" s="4"/>
      <c r="AA613" s="4"/>
      <c r="AB613" s="4"/>
      <c r="AC613" s="4"/>
      <c r="AD613" s="95"/>
    </row>
    <row r="614" spans="14:30">
      <c r="N614" s="7"/>
      <c r="P614" s="86"/>
      <c r="Q614" s="4"/>
      <c r="R614" s="4"/>
      <c r="S614" s="4"/>
      <c r="T614" s="4"/>
      <c r="U614" s="4"/>
      <c r="V614" s="4"/>
      <c r="X614" s="4"/>
      <c r="Y614" s="4"/>
      <c r="AA614" s="4"/>
      <c r="AB614" s="4"/>
      <c r="AC614" s="4"/>
      <c r="AD614" s="95"/>
    </row>
    <row r="615" spans="14:30">
      <c r="N615" s="7"/>
      <c r="P615" s="86"/>
      <c r="Q615" s="4"/>
      <c r="R615" s="4"/>
      <c r="S615" s="4"/>
      <c r="T615" s="4"/>
      <c r="U615" s="4"/>
      <c r="V615" s="4"/>
      <c r="X615" s="4"/>
      <c r="Y615" s="4"/>
      <c r="AA615" s="4"/>
      <c r="AB615" s="4"/>
      <c r="AC615" s="4"/>
      <c r="AD615" s="95"/>
    </row>
    <row r="616" spans="14:30">
      <c r="N616" s="7"/>
      <c r="P616" s="86"/>
      <c r="Q616" s="4"/>
      <c r="R616" s="4"/>
      <c r="S616" s="4"/>
      <c r="T616" s="4"/>
      <c r="U616" s="4"/>
      <c r="V616" s="4"/>
      <c r="X616" s="4"/>
      <c r="Y616" s="4"/>
      <c r="AA616" s="4"/>
      <c r="AB616" s="4"/>
      <c r="AC616" s="4"/>
      <c r="AD616" s="95"/>
    </row>
    <row r="617" spans="14:30">
      <c r="N617" s="7"/>
      <c r="P617" s="86"/>
      <c r="Q617" s="4"/>
      <c r="R617" s="4"/>
      <c r="S617" s="4"/>
      <c r="T617" s="4"/>
      <c r="U617" s="4"/>
      <c r="V617" s="4"/>
      <c r="X617" s="4"/>
      <c r="Y617" s="4"/>
      <c r="AA617" s="4"/>
      <c r="AB617" s="4"/>
      <c r="AC617" s="4"/>
      <c r="AD617" s="95"/>
    </row>
    <row r="618" spans="14:30">
      <c r="N618" s="7"/>
      <c r="P618" s="86"/>
      <c r="Q618" s="4"/>
      <c r="R618" s="4"/>
      <c r="S618" s="4"/>
      <c r="T618" s="4"/>
      <c r="U618" s="4"/>
      <c r="V618" s="4"/>
      <c r="X618" s="4"/>
      <c r="Y618" s="4"/>
      <c r="AA618" s="4"/>
      <c r="AB618" s="4"/>
      <c r="AC618" s="4"/>
      <c r="AD618" s="95"/>
    </row>
    <row r="619" spans="14:30">
      <c r="N619" s="7"/>
      <c r="P619" s="86"/>
      <c r="Q619" s="4"/>
      <c r="R619" s="4"/>
      <c r="S619" s="4"/>
      <c r="T619" s="4"/>
      <c r="U619" s="4"/>
      <c r="V619" s="4"/>
      <c r="X619" s="4"/>
      <c r="Y619" s="4"/>
      <c r="AA619" s="4"/>
      <c r="AB619" s="4"/>
      <c r="AC619" s="4"/>
      <c r="AD619" s="95"/>
    </row>
    <row r="620" spans="14:30">
      <c r="N620" s="7"/>
      <c r="P620" s="86"/>
      <c r="Q620" s="4"/>
      <c r="R620" s="4"/>
      <c r="S620" s="4"/>
      <c r="T620" s="4"/>
      <c r="U620" s="4"/>
      <c r="V620" s="4"/>
      <c r="X620" s="4"/>
      <c r="Y620" s="4"/>
      <c r="AA620" s="4"/>
      <c r="AB620" s="4"/>
      <c r="AC620" s="4"/>
      <c r="AD620" s="95"/>
    </row>
    <row r="621" spans="14:30">
      <c r="N621" s="7"/>
      <c r="P621" s="86"/>
      <c r="Q621" s="4"/>
      <c r="R621" s="4"/>
      <c r="S621" s="4"/>
      <c r="T621" s="4"/>
      <c r="U621" s="4"/>
      <c r="V621" s="4"/>
      <c r="X621" s="4"/>
      <c r="Y621" s="4"/>
      <c r="AA621" s="4"/>
      <c r="AB621" s="4"/>
      <c r="AC621" s="4"/>
      <c r="AD621" s="95"/>
    </row>
    <row r="622" spans="14:30">
      <c r="N622" s="7"/>
      <c r="P622" s="86"/>
      <c r="Q622" s="4"/>
      <c r="R622" s="4"/>
      <c r="S622" s="4"/>
      <c r="T622" s="4"/>
      <c r="U622" s="4"/>
      <c r="V622" s="4"/>
      <c r="X622" s="4"/>
      <c r="Y622" s="4"/>
      <c r="AA622" s="4"/>
      <c r="AB622" s="4"/>
      <c r="AC622" s="4"/>
      <c r="AD622" s="95"/>
    </row>
    <row r="623" spans="14:30">
      <c r="N623" s="7"/>
      <c r="P623" s="86"/>
      <c r="Q623" s="4"/>
      <c r="R623" s="4"/>
      <c r="S623" s="4"/>
      <c r="T623" s="4"/>
      <c r="U623" s="4"/>
      <c r="V623" s="4"/>
      <c r="X623" s="4"/>
      <c r="Y623" s="4"/>
      <c r="AA623" s="4"/>
      <c r="AB623" s="4"/>
      <c r="AC623" s="4"/>
      <c r="AD623" s="95"/>
    </row>
    <row r="624" spans="14:30">
      <c r="N624" s="7"/>
      <c r="P624" s="86"/>
      <c r="Q624" s="4"/>
      <c r="R624" s="4"/>
      <c r="S624" s="4"/>
      <c r="T624" s="4"/>
      <c r="U624" s="4"/>
      <c r="V624" s="4"/>
      <c r="X624" s="4"/>
      <c r="Y624" s="4"/>
      <c r="AA624" s="4"/>
      <c r="AB624" s="4"/>
      <c r="AC624" s="4"/>
      <c r="AD624" s="95"/>
    </row>
    <row r="625" spans="14:30">
      <c r="N625" s="7"/>
      <c r="P625" s="86"/>
      <c r="Q625" s="4"/>
      <c r="R625" s="4"/>
      <c r="S625" s="4"/>
      <c r="T625" s="4"/>
      <c r="U625" s="4"/>
      <c r="V625" s="4"/>
      <c r="X625" s="4"/>
      <c r="Y625" s="4"/>
      <c r="AA625" s="4"/>
      <c r="AB625" s="4"/>
      <c r="AC625" s="4"/>
      <c r="AD625" s="95"/>
    </row>
    <row r="626" spans="14:30">
      <c r="N626" s="7"/>
      <c r="P626" s="86"/>
      <c r="Q626" s="4"/>
      <c r="R626" s="4"/>
      <c r="S626" s="4"/>
      <c r="T626" s="4"/>
      <c r="U626" s="4"/>
      <c r="V626" s="4"/>
      <c r="X626" s="4"/>
      <c r="Y626" s="4"/>
      <c r="AA626" s="4"/>
      <c r="AB626" s="4"/>
      <c r="AC626" s="4"/>
      <c r="AD626" s="95"/>
    </row>
    <row r="627" spans="14:30">
      <c r="N627" s="7"/>
      <c r="P627" s="86"/>
      <c r="Q627" s="4"/>
      <c r="R627" s="4"/>
      <c r="S627" s="4"/>
      <c r="T627" s="4"/>
      <c r="U627" s="4"/>
      <c r="V627" s="4"/>
      <c r="X627" s="4"/>
      <c r="Y627" s="4"/>
      <c r="AA627" s="4"/>
      <c r="AB627" s="4"/>
      <c r="AC627" s="4"/>
      <c r="AD627" s="95"/>
    </row>
    <row r="628" spans="14:30">
      <c r="N628" s="7"/>
      <c r="P628" s="86"/>
      <c r="Q628" s="4"/>
      <c r="R628" s="4"/>
      <c r="S628" s="4"/>
      <c r="T628" s="4"/>
      <c r="U628" s="4"/>
      <c r="V628" s="4"/>
      <c r="X628" s="4"/>
      <c r="Y628" s="4"/>
      <c r="AA628" s="4"/>
      <c r="AB628" s="4"/>
      <c r="AC628" s="4"/>
      <c r="AD628" s="95"/>
    </row>
    <row r="629" spans="14:30">
      <c r="N629" s="7"/>
      <c r="P629" s="86"/>
      <c r="Q629" s="4"/>
      <c r="R629" s="4"/>
      <c r="S629" s="4"/>
      <c r="T629" s="4"/>
      <c r="U629" s="4"/>
      <c r="V629" s="4"/>
      <c r="X629" s="4"/>
      <c r="Y629" s="4"/>
      <c r="AA629" s="4"/>
      <c r="AB629" s="4"/>
      <c r="AC629" s="4"/>
      <c r="AD629" s="95"/>
    </row>
    <row r="630" spans="14:30">
      <c r="N630" s="7"/>
      <c r="P630" s="86"/>
      <c r="Q630" s="4"/>
      <c r="R630" s="4"/>
      <c r="S630" s="4"/>
      <c r="T630" s="4"/>
      <c r="U630" s="4"/>
      <c r="V630" s="4"/>
      <c r="X630" s="4"/>
      <c r="Y630" s="4"/>
      <c r="AA630" s="4"/>
      <c r="AB630" s="4"/>
      <c r="AC630" s="4"/>
      <c r="AD630" s="95"/>
    </row>
    <row r="631" spans="14:30">
      <c r="N631" s="7"/>
      <c r="P631" s="86"/>
      <c r="Q631" s="4"/>
      <c r="R631" s="4"/>
      <c r="S631" s="4"/>
      <c r="T631" s="4"/>
      <c r="U631" s="4"/>
      <c r="V631" s="4"/>
      <c r="X631" s="4"/>
      <c r="Y631" s="4"/>
      <c r="AA631" s="4"/>
      <c r="AB631" s="4"/>
      <c r="AC631" s="4"/>
      <c r="AD631" s="95"/>
    </row>
    <row r="632" spans="14:30">
      <c r="N632" s="7"/>
      <c r="P632" s="86"/>
      <c r="Q632" s="4"/>
      <c r="R632" s="4"/>
      <c r="S632" s="4"/>
      <c r="T632" s="4"/>
      <c r="U632" s="4"/>
      <c r="V632" s="4"/>
      <c r="X632" s="4"/>
      <c r="Y632" s="4"/>
      <c r="AA632" s="4"/>
      <c r="AB632" s="4"/>
      <c r="AC632" s="4"/>
      <c r="AD632" s="95"/>
    </row>
    <row r="633" spans="14:30">
      <c r="N633" s="7"/>
      <c r="P633" s="86"/>
      <c r="Q633" s="4"/>
      <c r="R633" s="4"/>
      <c r="S633" s="4"/>
      <c r="T633" s="4"/>
      <c r="U633" s="4"/>
      <c r="V633" s="4"/>
      <c r="X633" s="4"/>
      <c r="Y633" s="4"/>
      <c r="AA633" s="4"/>
      <c r="AB633" s="4"/>
      <c r="AC633" s="4"/>
      <c r="AD633" s="95"/>
    </row>
    <row r="634" spans="14:30">
      <c r="N634" s="7"/>
      <c r="P634" s="86"/>
      <c r="Q634" s="4"/>
      <c r="R634" s="4"/>
      <c r="S634" s="4"/>
      <c r="T634" s="4"/>
      <c r="U634" s="4"/>
      <c r="V634" s="4"/>
      <c r="X634" s="4"/>
      <c r="Y634" s="4"/>
      <c r="AA634" s="4"/>
      <c r="AB634" s="4"/>
      <c r="AC634" s="4"/>
      <c r="AD634" s="95"/>
    </row>
    <row r="635" spans="14:30">
      <c r="N635" s="7"/>
      <c r="P635" s="86"/>
      <c r="Q635" s="4"/>
      <c r="R635" s="4"/>
      <c r="S635" s="4"/>
      <c r="T635" s="4"/>
      <c r="U635" s="4"/>
      <c r="V635" s="4"/>
      <c r="X635" s="4"/>
      <c r="Y635" s="4"/>
      <c r="AA635" s="4"/>
      <c r="AB635" s="4"/>
      <c r="AC635" s="4"/>
      <c r="AD635" s="95"/>
    </row>
    <row r="636" spans="14:30">
      <c r="N636" s="7"/>
      <c r="P636" s="86"/>
      <c r="Q636" s="4"/>
      <c r="R636" s="4"/>
      <c r="S636" s="4"/>
      <c r="T636" s="4"/>
      <c r="U636" s="4"/>
      <c r="V636" s="4"/>
      <c r="X636" s="4"/>
      <c r="Y636" s="4"/>
      <c r="AA636" s="4"/>
      <c r="AB636" s="4"/>
      <c r="AC636" s="4"/>
      <c r="AD636" s="95"/>
    </row>
    <row r="637" spans="14:30">
      <c r="N637" s="7"/>
      <c r="P637" s="86"/>
      <c r="Q637" s="4"/>
      <c r="R637" s="4"/>
      <c r="S637" s="4"/>
      <c r="T637" s="4"/>
      <c r="U637" s="4"/>
      <c r="V637" s="4"/>
      <c r="X637" s="4"/>
      <c r="Y637" s="4"/>
      <c r="AA637" s="4"/>
      <c r="AB637" s="4"/>
      <c r="AC637" s="4"/>
      <c r="AD637" s="95"/>
    </row>
    <row r="638" spans="14:30">
      <c r="N638" s="7"/>
      <c r="P638" s="86"/>
      <c r="Q638" s="4"/>
      <c r="R638" s="4"/>
      <c r="S638" s="4"/>
      <c r="T638" s="4"/>
      <c r="U638" s="4"/>
      <c r="V638" s="4"/>
      <c r="X638" s="4"/>
      <c r="Y638" s="4"/>
      <c r="AA638" s="4"/>
      <c r="AB638" s="4"/>
      <c r="AC638" s="4"/>
      <c r="AD638" s="95"/>
    </row>
    <row r="639" spans="14:30">
      <c r="N639" s="7"/>
      <c r="P639" s="86"/>
      <c r="Q639" s="4"/>
      <c r="R639" s="4"/>
      <c r="S639" s="4"/>
      <c r="T639" s="4"/>
      <c r="U639" s="4"/>
      <c r="V639" s="4"/>
      <c r="X639" s="4"/>
      <c r="Y639" s="4"/>
      <c r="AA639" s="4"/>
      <c r="AB639" s="4"/>
      <c r="AC639" s="4"/>
      <c r="AD639" s="95"/>
    </row>
    <row r="640" spans="14:30">
      <c r="N640" s="7"/>
      <c r="P640" s="86"/>
      <c r="Q640" s="4"/>
      <c r="R640" s="4"/>
      <c r="S640" s="4"/>
      <c r="T640" s="4"/>
      <c r="U640" s="4"/>
      <c r="V640" s="4"/>
      <c r="X640" s="4"/>
      <c r="Y640" s="4"/>
      <c r="AA640" s="4"/>
      <c r="AB640" s="4"/>
      <c r="AC640" s="4"/>
      <c r="AD640" s="95"/>
    </row>
    <row r="641" spans="14:30">
      <c r="N641" s="7"/>
      <c r="P641" s="86"/>
      <c r="Q641" s="4"/>
      <c r="R641" s="4"/>
      <c r="S641" s="4"/>
      <c r="T641" s="4"/>
      <c r="U641" s="4"/>
      <c r="V641" s="4"/>
      <c r="X641" s="4"/>
      <c r="Y641" s="4"/>
      <c r="AA641" s="4"/>
      <c r="AB641" s="4"/>
      <c r="AC641" s="4"/>
      <c r="AD641" s="95"/>
    </row>
    <row r="642" spans="14:30">
      <c r="N642" s="7"/>
      <c r="P642" s="86"/>
      <c r="Q642" s="4"/>
      <c r="R642" s="4"/>
      <c r="S642" s="4"/>
      <c r="T642" s="4"/>
      <c r="U642" s="4"/>
      <c r="V642" s="4"/>
      <c r="X642" s="4"/>
      <c r="Y642" s="4"/>
      <c r="AA642" s="4"/>
      <c r="AB642" s="4"/>
      <c r="AC642" s="4"/>
      <c r="AD642" s="95"/>
    </row>
    <row r="643" spans="14:30">
      <c r="N643" s="7"/>
      <c r="P643" s="86"/>
      <c r="Q643" s="4"/>
      <c r="R643" s="4"/>
      <c r="S643" s="4"/>
      <c r="T643" s="4"/>
      <c r="U643" s="4"/>
      <c r="V643" s="4"/>
      <c r="X643" s="4"/>
      <c r="Y643" s="4"/>
      <c r="AA643" s="4"/>
      <c r="AB643" s="4"/>
      <c r="AC643" s="4"/>
      <c r="AD643" s="95"/>
    </row>
    <row r="644" spans="14:30">
      <c r="N644" s="7"/>
      <c r="P644" s="86"/>
      <c r="Q644" s="4"/>
      <c r="R644" s="4"/>
      <c r="S644" s="4"/>
      <c r="T644" s="4"/>
      <c r="U644" s="4"/>
      <c r="V644" s="4"/>
      <c r="X644" s="4"/>
      <c r="Y644" s="4"/>
      <c r="AA644" s="4"/>
      <c r="AB644" s="4"/>
      <c r="AC644" s="4"/>
      <c r="AD644" s="95"/>
    </row>
    <row r="645" spans="14:30">
      <c r="N645" s="7"/>
      <c r="P645" s="86"/>
      <c r="Q645" s="4"/>
      <c r="R645" s="4"/>
      <c r="S645" s="4"/>
      <c r="T645" s="4"/>
      <c r="U645" s="4"/>
      <c r="V645" s="4"/>
      <c r="X645" s="4"/>
      <c r="Y645" s="4"/>
      <c r="AA645" s="4"/>
      <c r="AB645" s="4"/>
      <c r="AC645" s="4"/>
      <c r="AD645" s="95"/>
    </row>
    <row r="646" spans="14:30">
      <c r="N646" s="7"/>
      <c r="P646" s="86"/>
      <c r="Q646" s="4"/>
      <c r="R646" s="4"/>
      <c r="S646" s="4"/>
      <c r="T646" s="4"/>
      <c r="U646" s="4"/>
      <c r="V646" s="4"/>
      <c r="X646" s="4"/>
      <c r="Y646" s="4"/>
      <c r="AA646" s="4"/>
      <c r="AB646" s="4"/>
      <c r="AC646" s="4"/>
      <c r="AD646" s="95"/>
    </row>
    <row r="647" spans="14:30">
      <c r="N647" s="7"/>
      <c r="P647" s="86"/>
      <c r="Q647" s="4"/>
      <c r="R647" s="4"/>
      <c r="S647" s="4"/>
      <c r="T647" s="4"/>
      <c r="U647" s="4"/>
      <c r="V647" s="4"/>
      <c r="X647" s="4"/>
      <c r="Y647" s="4"/>
      <c r="AA647" s="4"/>
      <c r="AB647" s="4"/>
      <c r="AC647" s="4"/>
      <c r="AD647" s="95"/>
    </row>
    <row r="648" spans="14:30">
      <c r="N648" s="7"/>
      <c r="P648" s="86"/>
      <c r="Q648" s="4"/>
      <c r="R648" s="4"/>
      <c r="S648" s="4"/>
      <c r="T648" s="4"/>
      <c r="U648" s="4"/>
      <c r="V648" s="4"/>
      <c r="X648" s="4"/>
      <c r="Y648" s="4"/>
      <c r="AA648" s="4"/>
      <c r="AB648" s="4"/>
      <c r="AC648" s="4"/>
      <c r="AD648" s="95"/>
    </row>
    <row r="649" spans="14:30">
      <c r="N649" s="7"/>
      <c r="P649" s="86"/>
      <c r="Q649" s="4"/>
      <c r="R649" s="4"/>
      <c r="S649" s="4"/>
      <c r="T649" s="4"/>
      <c r="U649" s="4"/>
      <c r="V649" s="4"/>
      <c r="X649" s="4"/>
      <c r="Y649" s="4"/>
      <c r="AA649" s="4"/>
      <c r="AB649" s="4"/>
      <c r="AC649" s="4"/>
      <c r="AD649" s="95"/>
    </row>
    <row r="650" spans="14:30">
      <c r="N650" s="7"/>
      <c r="P650" s="86"/>
      <c r="Q650" s="4"/>
      <c r="R650" s="4"/>
      <c r="S650" s="4"/>
      <c r="T650" s="4"/>
      <c r="U650" s="4"/>
      <c r="V650" s="4"/>
      <c r="X650" s="4"/>
      <c r="Y650" s="4"/>
      <c r="AA650" s="4"/>
      <c r="AB650" s="4"/>
      <c r="AC650" s="4"/>
      <c r="AD650" s="95"/>
    </row>
    <row r="651" spans="14:30">
      <c r="N651" s="7"/>
      <c r="P651" s="86"/>
      <c r="Q651" s="4"/>
      <c r="R651" s="4"/>
      <c r="S651" s="4"/>
      <c r="T651" s="4"/>
      <c r="U651" s="4"/>
      <c r="V651" s="4"/>
      <c r="X651" s="4"/>
      <c r="Y651" s="4"/>
      <c r="AA651" s="4"/>
      <c r="AB651" s="4"/>
      <c r="AC651" s="4"/>
      <c r="AD651" s="95"/>
    </row>
    <row r="652" spans="14:30">
      <c r="N652" s="7"/>
      <c r="P652" s="86"/>
      <c r="Q652" s="4"/>
      <c r="R652" s="4"/>
      <c r="S652" s="4"/>
      <c r="T652" s="4"/>
      <c r="U652" s="4"/>
      <c r="V652" s="4"/>
      <c r="X652" s="4"/>
      <c r="Y652" s="4"/>
      <c r="AA652" s="4"/>
      <c r="AB652" s="4"/>
      <c r="AC652" s="4"/>
      <c r="AD652" s="95"/>
    </row>
    <row r="653" spans="14:30">
      <c r="N653" s="7"/>
      <c r="P653" s="86"/>
      <c r="Q653" s="4"/>
      <c r="R653" s="4"/>
      <c r="S653" s="4"/>
      <c r="T653" s="4"/>
      <c r="U653" s="4"/>
      <c r="V653" s="4"/>
      <c r="X653" s="4"/>
      <c r="Y653" s="4"/>
      <c r="AA653" s="4"/>
      <c r="AB653" s="4"/>
      <c r="AC653" s="4"/>
      <c r="AD653" s="95"/>
    </row>
    <row r="654" spans="14:30">
      <c r="N654" s="7"/>
      <c r="P654" s="86"/>
      <c r="Q654" s="4"/>
      <c r="R654" s="4"/>
      <c r="S654" s="4"/>
      <c r="T654" s="4"/>
      <c r="U654" s="4"/>
      <c r="V654" s="4"/>
      <c r="X654" s="4"/>
      <c r="Y654" s="4"/>
      <c r="AA654" s="4"/>
      <c r="AB654" s="4"/>
      <c r="AC654" s="4"/>
      <c r="AD654" s="95"/>
    </row>
    <row r="655" spans="14:30">
      <c r="N655" s="7"/>
      <c r="P655" s="86"/>
      <c r="Q655" s="4"/>
      <c r="R655" s="4"/>
      <c r="S655" s="4"/>
      <c r="T655" s="4"/>
      <c r="U655" s="4"/>
      <c r="V655" s="4"/>
      <c r="X655" s="4"/>
      <c r="Y655" s="4"/>
      <c r="AA655" s="4"/>
      <c r="AB655" s="4"/>
      <c r="AC655" s="4"/>
      <c r="AD655" s="95"/>
    </row>
    <row r="656" spans="14:30">
      <c r="N656" s="7"/>
      <c r="P656" s="86"/>
      <c r="Q656" s="4"/>
      <c r="R656" s="4"/>
      <c r="S656" s="4"/>
      <c r="T656" s="4"/>
      <c r="U656" s="4"/>
      <c r="V656" s="4"/>
      <c r="X656" s="4"/>
      <c r="Y656" s="4"/>
      <c r="AA656" s="4"/>
      <c r="AB656" s="4"/>
      <c r="AC656" s="4"/>
      <c r="AD656" s="95"/>
    </row>
    <row r="657" spans="14:30">
      <c r="N657" s="7"/>
      <c r="P657" s="86"/>
      <c r="Q657" s="4"/>
      <c r="R657" s="4"/>
      <c r="S657" s="4"/>
      <c r="T657" s="4"/>
      <c r="U657" s="4"/>
      <c r="V657" s="4"/>
      <c r="X657" s="4"/>
      <c r="Y657" s="4"/>
      <c r="AA657" s="4"/>
      <c r="AB657" s="4"/>
      <c r="AC657" s="4"/>
      <c r="AD657" s="95"/>
    </row>
    <row r="658" spans="14:30">
      <c r="N658" s="7"/>
      <c r="P658" s="86"/>
      <c r="Q658" s="4"/>
      <c r="R658" s="4"/>
      <c r="S658" s="4"/>
      <c r="T658" s="4"/>
      <c r="U658" s="4"/>
      <c r="V658" s="4"/>
      <c r="X658" s="4"/>
      <c r="Y658" s="4"/>
      <c r="AA658" s="4"/>
      <c r="AB658" s="4"/>
      <c r="AC658" s="4"/>
      <c r="AD658" s="95"/>
    </row>
    <row r="659" spans="14:30">
      <c r="N659" s="7"/>
      <c r="P659" s="86"/>
      <c r="Q659" s="4"/>
      <c r="R659" s="4"/>
      <c r="S659" s="4"/>
      <c r="T659" s="4"/>
      <c r="U659" s="4"/>
      <c r="V659" s="4"/>
      <c r="X659" s="4"/>
      <c r="Y659" s="4"/>
      <c r="AA659" s="4"/>
      <c r="AB659" s="4"/>
      <c r="AC659" s="4"/>
      <c r="AD659" s="95"/>
    </row>
    <row r="660" spans="14:30">
      <c r="N660" s="7"/>
      <c r="P660" s="86"/>
      <c r="Q660" s="4"/>
      <c r="R660" s="4"/>
      <c r="S660" s="4"/>
      <c r="T660" s="4"/>
      <c r="U660" s="4"/>
      <c r="V660" s="4"/>
      <c r="X660" s="4"/>
      <c r="Y660" s="4"/>
      <c r="AA660" s="4"/>
      <c r="AB660" s="4"/>
      <c r="AC660" s="4"/>
      <c r="AD660" s="95"/>
    </row>
    <row r="661" spans="14:30">
      <c r="N661" s="7"/>
      <c r="P661" s="86"/>
      <c r="Q661" s="4"/>
      <c r="R661" s="4"/>
      <c r="S661" s="4"/>
      <c r="T661" s="4"/>
      <c r="U661" s="4"/>
      <c r="V661" s="4"/>
      <c r="X661" s="4"/>
      <c r="Y661" s="4"/>
      <c r="AA661" s="4"/>
      <c r="AB661" s="4"/>
      <c r="AC661" s="4"/>
      <c r="AD661" s="95"/>
    </row>
    <row r="662" spans="14:30">
      <c r="N662" s="7"/>
      <c r="P662" s="86"/>
      <c r="Q662" s="4"/>
      <c r="R662" s="4"/>
      <c r="S662" s="4"/>
      <c r="T662" s="4"/>
      <c r="U662" s="4"/>
      <c r="V662" s="4"/>
      <c r="X662" s="4"/>
      <c r="Y662" s="4"/>
      <c r="AA662" s="4"/>
      <c r="AB662" s="4"/>
      <c r="AC662" s="4"/>
      <c r="AD662" s="95"/>
    </row>
    <row r="663" spans="14:30">
      <c r="N663" s="7"/>
      <c r="P663" s="86"/>
      <c r="Q663" s="4"/>
      <c r="R663" s="4"/>
      <c r="S663" s="4"/>
      <c r="T663" s="4"/>
      <c r="U663" s="4"/>
      <c r="V663" s="4"/>
      <c r="X663" s="4"/>
      <c r="Y663" s="4"/>
      <c r="AA663" s="4"/>
      <c r="AB663" s="4"/>
      <c r="AC663" s="4"/>
      <c r="AD663" s="95"/>
    </row>
    <row r="664" spans="14:30">
      <c r="N664" s="7"/>
      <c r="P664" s="86"/>
      <c r="Q664" s="4"/>
      <c r="R664" s="4"/>
      <c r="S664" s="4"/>
      <c r="T664" s="4"/>
      <c r="U664" s="4"/>
      <c r="V664" s="4"/>
      <c r="X664" s="4"/>
      <c r="Y664" s="4"/>
      <c r="AA664" s="4"/>
      <c r="AB664" s="4"/>
      <c r="AC664" s="4"/>
      <c r="AD664" s="95"/>
    </row>
    <row r="665" spans="14:30">
      <c r="N665" s="7"/>
      <c r="P665" s="86"/>
      <c r="Q665" s="4"/>
      <c r="R665" s="4"/>
      <c r="S665" s="4"/>
      <c r="T665" s="4"/>
      <c r="U665" s="4"/>
      <c r="V665" s="4"/>
      <c r="X665" s="4"/>
      <c r="Y665" s="4"/>
      <c r="AA665" s="4"/>
      <c r="AB665" s="4"/>
      <c r="AC665" s="4"/>
      <c r="AD665" s="95"/>
    </row>
    <row r="666" spans="14:30">
      <c r="N666" s="7"/>
      <c r="P666" s="86"/>
      <c r="Q666" s="4"/>
      <c r="R666" s="4"/>
      <c r="S666" s="4"/>
      <c r="T666" s="4"/>
      <c r="U666" s="4"/>
      <c r="V666" s="4"/>
      <c r="X666" s="4"/>
      <c r="Y666" s="4"/>
      <c r="AA666" s="4"/>
      <c r="AB666" s="4"/>
      <c r="AC666" s="4"/>
      <c r="AD666" s="95"/>
    </row>
    <row r="667" spans="14:30">
      <c r="N667" s="7"/>
      <c r="P667" s="86"/>
      <c r="Q667" s="4"/>
      <c r="R667" s="4"/>
      <c r="S667" s="4"/>
      <c r="T667" s="4"/>
      <c r="U667" s="4"/>
      <c r="V667" s="4"/>
      <c r="X667" s="4"/>
      <c r="Y667" s="4"/>
      <c r="AA667" s="4"/>
      <c r="AB667" s="4"/>
      <c r="AC667" s="4"/>
      <c r="AD667" s="95"/>
    </row>
    <row r="668" spans="14:30">
      <c r="N668" s="7"/>
      <c r="P668" s="86"/>
      <c r="Q668" s="4"/>
      <c r="R668" s="4"/>
      <c r="S668" s="4"/>
      <c r="T668" s="4"/>
      <c r="U668" s="4"/>
      <c r="V668" s="4"/>
      <c r="X668" s="4"/>
      <c r="Y668" s="4"/>
      <c r="AA668" s="4"/>
      <c r="AB668" s="4"/>
      <c r="AC668" s="4"/>
      <c r="AD668" s="95"/>
    </row>
    <row r="669" spans="14:30">
      <c r="N669" s="7"/>
      <c r="P669" s="86"/>
      <c r="Q669" s="4"/>
      <c r="R669" s="4"/>
      <c r="S669" s="4"/>
      <c r="T669" s="4"/>
      <c r="U669" s="4"/>
      <c r="V669" s="4"/>
      <c r="X669" s="4"/>
      <c r="Y669" s="4"/>
      <c r="AA669" s="4"/>
      <c r="AB669" s="4"/>
      <c r="AC669" s="4"/>
      <c r="AD669" s="95"/>
    </row>
    <row r="670" spans="14:30">
      <c r="N670" s="7"/>
      <c r="P670" s="86"/>
      <c r="Q670" s="4"/>
      <c r="R670" s="4"/>
      <c r="S670" s="4"/>
      <c r="T670" s="4"/>
      <c r="U670" s="4"/>
      <c r="V670" s="4"/>
      <c r="X670" s="4"/>
      <c r="Y670" s="4"/>
      <c r="AA670" s="4"/>
      <c r="AB670" s="4"/>
      <c r="AC670" s="4"/>
      <c r="AD670" s="95"/>
    </row>
    <row r="671" spans="14:30">
      <c r="N671" s="7"/>
      <c r="P671" s="86"/>
      <c r="Q671" s="4"/>
      <c r="R671" s="4"/>
      <c r="S671" s="4"/>
      <c r="T671" s="4"/>
      <c r="U671" s="4"/>
      <c r="V671" s="4"/>
      <c r="X671" s="4"/>
      <c r="Y671" s="4"/>
      <c r="AA671" s="4"/>
      <c r="AB671" s="4"/>
      <c r="AC671" s="4"/>
      <c r="AD671" s="95"/>
    </row>
    <row r="672" spans="14:30">
      <c r="N672" s="7"/>
      <c r="P672" s="86"/>
      <c r="Q672" s="4"/>
      <c r="R672" s="4"/>
      <c r="S672" s="4"/>
      <c r="T672" s="4"/>
      <c r="U672" s="4"/>
      <c r="V672" s="4"/>
      <c r="X672" s="4"/>
      <c r="Y672" s="4"/>
      <c r="AA672" s="4"/>
      <c r="AB672" s="4"/>
      <c r="AC672" s="4"/>
      <c r="AD672" s="95"/>
    </row>
    <row r="673" spans="14:30">
      <c r="N673" s="7"/>
      <c r="P673" s="86"/>
      <c r="Q673" s="4"/>
      <c r="R673" s="4"/>
      <c r="S673" s="4"/>
      <c r="T673" s="4"/>
      <c r="U673" s="4"/>
      <c r="V673" s="4"/>
      <c r="X673" s="4"/>
      <c r="Y673" s="4"/>
      <c r="AA673" s="4"/>
      <c r="AB673" s="4"/>
      <c r="AC673" s="4"/>
      <c r="AD673" s="95"/>
    </row>
    <row r="674" spans="14:30">
      <c r="N674" s="7"/>
      <c r="P674" s="86"/>
      <c r="Q674" s="4"/>
      <c r="R674" s="4"/>
      <c r="S674" s="4"/>
      <c r="T674" s="4"/>
      <c r="U674" s="4"/>
      <c r="V674" s="4"/>
      <c r="X674" s="4"/>
      <c r="Y674" s="4"/>
      <c r="AA674" s="4"/>
      <c r="AB674" s="4"/>
      <c r="AC674" s="4"/>
      <c r="AD674" s="95"/>
    </row>
    <row r="675" spans="14:30">
      <c r="N675" s="7"/>
      <c r="P675" s="86"/>
      <c r="Q675" s="4"/>
      <c r="R675" s="4"/>
      <c r="S675" s="4"/>
      <c r="T675" s="4"/>
      <c r="U675" s="4"/>
      <c r="V675" s="4"/>
      <c r="X675" s="4"/>
      <c r="Y675" s="4"/>
      <c r="AA675" s="4"/>
      <c r="AB675" s="4"/>
      <c r="AC675" s="4"/>
      <c r="AD675" s="95"/>
    </row>
    <row r="676" spans="14:30">
      <c r="N676" s="7"/>
      <c r="P676" s="86"/>
      <c r="Q676" s="4"/>
      <c r="R676" s="4"/>
      <c r="S676" s="4"/>
      <c r="T676" s="4"/>
      <c r="U676" s="4"/>
      <c r="V676" s="4"/>
      <c r="X676" s="4"/>
      <c r="Y676" s="4"/>
      <c r="AA676" s="4"/>
      <c r="AB676" s="4"/>
      <c r="AC676" s="4"/>
      <c r="AD676" s="95"/>
    </row>
    <row r="677" spans="14:30">
      <c r="N677" s="7"/>
      <c r="P677" s="86"/>
      <c r="Q677" s="4"/>
      <c r="R677" s="4"/>
      <c r="S677" s="4"/>
      <c r="T677" s="4"/>
      <c r="U677" s="4"/>
      <c r="V677" s="4"/>
      <c r="X677" s="4"/>
      <c r="Y677" s="4"/>
      <c r="AA677" s="4"/>
      <c r="AB677" s="4"/>
      <c r="AC677" s="4"/>
      <c r="AD677" s="95"/>
    </row>
    <row r="678" spans="14:30">
      <c r="N678" s="7"/>
      <c r="P678" s="86"/>
      <c r="Q678" s="4"/>
      <c r="R678" s="4"/>
      <c r="S678" s="4"/>
      <c r="T678" s="4"/>
      <c r="U678" s="4"/>
      <c r="V678" s="4"/>
      <c r="X678" s="4"/>
      <c r="Y678" s="4"/>
      <c r="AA678" s="4"/>
      <c r="AB678" s="4"/>
      <c r="AC678" s="4"/>
      <c r="AD678" s="95"/>
    </row>
    <row r="679" spans="14:30">
      <c r="N679" s="7"/>
      <c r="P679" s="86"/>
      <c r="Q679" s="4"/>
      <c r="R679" s="4"/>
      <c r="S679" s="4"/>
      <c r="T679" s="4"/>
      <c r="U679" s="4"/>
      <c r="V679" s="4"/>
      <c r="X679" s="4"/>
      <c r="Y679" s="4"/>
      <c r="AA679" s="4"/>
      <c r="AB679" s="4"/>
      <c r="AC679" s="4"/>
      <c r="AD679" s="95"/>
    </row>
    <row r="680" spans="14:30">
      <c r="N680" s="7"/>
      <c r="P680" s="86"/>
      <c r="Q680" s="4"/>
      <c r="R680" s="4"/>
      <c r="S680" s="4"/>
      <c r="T680" s="4"/>
      <c r="U680" s="4"/>
      <c r="V680" s="4"/>
      <c r="X680" s="4"/>
      <c r="Y680" s="4"/>
      <c r="AA680" s="4"/>
      <c r="AB680" s="4"/>
      <c r="AC680" s="4"/>
      <c r="AD680" s="95"/>
    </row>
    <row r="681" spans="14:30">
      <c r="N681" s="7"/>
      <c r="P681" s="86"/>
      <c r="Q681" s="4"/>
      <c r="R681" s="4"/>
      <c r="S681" s="4"/>
      <c r="T681" s="4"/>
      <c r="U681" s="4"/>
      <c r="V681" s="4"/>
      <c r="X681" s="4"/>
      <c r="Y681" s="4"/>
      <c r="AA681" s="4"/>
      <c r="AB681" s="4"/>
      <c r="AC681" s="4"/>
      <c r="AD681" s="95"/>
    </row>
    <row r="682" spans="14:30">
      <c r="N682" s="7"/>
      <c r="P682" s="86"/>
      <c r="Q682" s="4"/>
      <c r="R682" s="4"/>
      <c r="S682" s="4"/>
      <c r="T682" s="4"/>
      <c r="U682" s="4"/>
      <c r="V682" s="4"/>
      <c r="X682" s="4"/>
      <c r="Y682" s="4"/>
      <c r="AA682" s="4"/>
      <c r="AB682" s="4"/>
      <c r="AC682" s="4"/>
      <c r="AD682" s="95"/>
    </row>
    <row r="683" spans="14:30">
      <c r="N683" s="7"/>
      <c r="P683" s="86"/>
      <c r="Q683" s="4"/>
      <c r="R683" s="4"/>
      <c r="S683" s="4"/>
      <c r="T683" s="4"/>
      <c r="U683" s="4"/>
      <c r="V683" s="4"/>
      <c r="X683" s="4"/>
      <c r="Y683" s="4"/>
      <c r="AA683" s="4"/>
      <c r="AB683" s="4"/>
      <c r="AC683" s="4"/>
      <c r="AD683" s="95"/>
    </row>
    <row r="684" spans="14:30">
      <c r="N684" s="7"/>
      <c r="P684" s="86"/>
      <c r="Q684" s="4"/>
      <c r="R684" s="4"/>
      <c r="S684" s="4"/>
      <c r="T684" s="4"/>
      <c r="U684" s="4"/>
      <c r="V684" s="4"/>
      <c r="X684" s="4"/>
      <c r="Y684" s="4"/>
      <c r="AA684" s="4"/>
      <c r="AB684" s="4"/>
      <c r="AC684" s="4"/>
      <c r="AD684" s="95"/>
    </row>
    <row r="685" spans="14:30">
      <c r="N685" s="7"/>
      <c r="P685" s="86"/>
      <c r="Q685" s="4"/>
      <c r="R685" s="4"/>
      <c r="S685" s="4"/>
      <c r="T685" s="4"/>
      <c r="U685" s="4"/>
      <c r="V685" s="4"/>
      <c r="X685" s="4"/>
      <c r="Y685" s="4"/>
      <c r="AA685" s="4"/>
      <c r="AB685" s="4"/>
      <c r="AC685" s="4"/>
      <c r="AD685" s="95"/>
    </row>
    <row r="686" spans="14:30">
      <c r="N686" s="7"/>
      <c r="P686" s="86"/>
      <c r="Q686" s="4"/>
      <c r="R686" s="4"/>
      <c r="S686" s="4"/>
      <c r="T686" s="4"/>
      <c r="U686" s="4"/>
      <c r="V686" s="4"/>
      <c r="X686" s="4"/>
      <c r="Y686" s="4"/>
      <c r="AA686" s="4"/>
      <c r="AB686" s="4"/>
      <c r="AC686" s="4"/>
      <c r="AD686" s="95"/>
    </row>
    <row r="687" spans="14:30">
      <c r="N687" s="7"/>
      <c r="P687" s="86"/>
      <c r="Q687" s="4"/>
      <c r="R687" s="4"/>
      <c r="S687" s="4"/>
      <c r="T687" s="4"/>
      <c r="U687" s="4"/>
      <c r="V687" s="4"/>
      <c r="X687" s="4"/>
      <c r="Y687" s="4"/>
      <c r="AA687" s="4"/>
      <c r="AB687" s="4"/>
      <c r="AC687" s="4"/>
      <c r="AD687" s="95"/>
    </row>
    <row r="688" spans="14:30">
      <c r="N688" s="7"/>
      <c r="P688" s="86"/>
      <c r="Q688" s="4"/>
      <c r="R688" s="4"/>
      <c r="S688" s="4"/>
      <c r="T688" s="4"/>
      <c r="U688" s="4"/>
      <c r="V688" s="4"/>
      <c r="X688" s="4"/>
      <c r="Y688" s="4"/>
      <c r="AA688" s="4"/>
      <c r="AB688" s="4"/>
      <c r="AC688" s="4"/>
      <c r="AD688" s="95"/>
    </row>
    <row r="689" spans="14:30">
      <c r="N689" s="7"/>
      <c r="P689" s="86"/>
      <c r="Q689" s="4"/>
      <c r="R689" s="4"/>
      <c r="S689" s="4"/>
      <c r="T689" s="4"/>
      <c r="U689" s="4"/>
      <c r="V689" s="4"/>
      <c r="X689" s="4"/>
      <c r="Y689" s="4"/>
      <c r="AA689" s="4"/>
      <c r="AB689" s="4"/>
      <c r="AC689" s="4"/>
      <c r="AD689" s="95"/>
    </row>
    <row r="690" spans="14:30">
      <c r="N690" s="7"/>
      <c r="P690" s="86"/>
      <c r="Q690" s="4"/>
      <c r="R690" s="4"/>
      <c r="S690" s="4"/>
      <c r="T690" s="4"/>
      <c r="U690" s="4"/>
      <c r="V690" s="4"/>
      <c r="X690" s="4"/>
      <c r="Y690" s="4"/>
      <c r="AA690" s="4"/>
      <c r="AB690" s="4"/>
      <c r="AC690" s="4"/>
      <c r="AD690" s="95"/>
    </row>
    <row r="691" spans="14:30">
      <c r="N691" s="7"/>
      <c r="P691" s="86"/>
      <c r="Q691" s="4"/>
      <c r="R691" s="4"/>
      <c r="S691" s="4"/>
      <c r="T691" s="4"/>
      <c r="U691" s="4"/>
      <c r="V691" s="4"/>
      <c r="X691" s="4"/>
      <c r="Y691" s="4"/>
      <c r="AA691" s="4"/>
      <c r="AB691" s="4"/>
      <c r="AC691" s="4"/>
      <c r="AD691" s="95"/>
    </row>
    <row r="692" spans="14:30">
      <c r="N692" s="7"/>
      <c r="P692" s="86"/>
      <c r="Q692" s="4"/>
      <c r="R692" s="4"/>
      <c r="S692" s="4"/>
      <c r="T692" s="4"/>
      <c r="U692" s="4"/>
      <c r="V692" s="4"/>
      <c r="X692" s="4"/>
      <c r="Y692" s="4"/>
      <c r="AA692" s="4"/>
      <c r="AB692" s="4"/>
      <c r="AC692" s="4"/>
      <c r="AD692" s="95"/>
    </row>
    <row r="693" spans="14:30">
      <c r="N693" s="7"/>
      <c r="P693" s="86"/>
      <c r="Q693" s="4"/>
      <c r="R693" s="4"/>
      <c r="S693" s="4"/>
      <c r="T693" s="4"/>
      <c r="U693" s="4"/>
      <c r="V693" s="4"/>
      <c r="X693" s="4"/>
      <c r="Y693" s="4"/>
      <c r="AA693" s="4"/>
      <c r="AB693" s="4"/>
      <c r="AC693" s="4"/>
      <c r="AD693" s="95"/>
    </row>
    <row r="694" spans="14:30">
      <c r="N694" s="7"/>
      <c r="P694" s="86"/>
      <c r="Q694" s="4"/>
      <c r="R694" s="4"/>
      <c r="S694" s="4"/>
      <c r="T694" s="4"/>
      <c r="U694" s="4"/>
      <c r="V694" s="4"/>
      <c r="X694" s="4"/>
      <c r="Y694" s="4"/>
      <c r="AA694" s="4"/>
      <c r="AB694" s="4"/>
      <c r="AC694" s="4"/>
      <c r="AD694" s="95"/>
    </row>
    <row r="695" spans="14:30">
      <c r="N695" s="7"/>
      <c r="P695" s="86"/>
      <c r="Q695" s="4"/>
      <c r="R695" s="4"/>
      <c r="S695" s="4"/>
      <c r="T695" s="4"/>
      <c r="U695" s="4"/>
      <c r="V695" s="4"/>
      <c r="X695" s="4"/>
      <c r="Y695" s="4"/>
      <c r="AA695" s="4"/>
      <c r="AB695" s="4"/>
      <c r="AC695" s="4"/>
      <c r="AD695" s="95"/>
    </row>
    <row r="696" spans="14:30">
      <c r="N696" s="7"/>
      <c r="P696" s="86"/>
      <c r="Q696" s="4"/>
      <c r="R696" s="4"/>
      <c r="S696" s="4"/>
      <c r="T696" s="4"/>
      <c r="U696" s="4"/>
      <c r="V696" s="4"/>
      <c r="X696" s="4"/>
      <c r="Y696" s="4"/>
      <c r="AA696" s="4"/>
      <c r="AB696" s="4"/>
      <c r="AC696" s="4"/>
      <c r="AD696" s="95"/>
    </row>
    <row r="697" spans="14:30">
      <c r="N697" s="7"/>
      <c r="P697" s="86"/>
      <c r="Q697" s="4"/>
      <c r="R697" s="4"/>
      <c r="S697" s="4"/>
      <c r="T697" s="4"/>
      <c r="U697" s="4"/>
      <c r="V697" s="4"/>
      <c r="X697" s="4"/>
      <c r="Y697" s="4"/>
      <c r="AA697" s="4"/>
      <c r="AB697" s="4"/>
      <c r="AC697" s="4"/>
      <c r="AD697" s="95"/>
    </row>
    <row r="698" spans="14:30">
      <c r="N698" s="7"/>
      <c r="P698" s="86"/>
      <c r="Q698" s="4"/>
      <c r="R698" s="4"/>
      <c r="S698" s="4"/>
      <c r="T698" s="4"/>
      <c r="U698" s="4"/>
      <c r="V698" s="4"/>
      <c r="X698" s="4"/>
      <c r="Y698" s="4"/>
      <c r="AA698" s="4"/>
      <c r="AB698" s="4"/>
      <c r="AC698" s="4"/>
      <c r="AD698" s="95"/>
    </row>
    <row r="699" spans="14:30">
      <c r="N699" s="7"/>
      <c r="P699" s="86"/>
      <c r="Q699" s="4"/>
      <c r="R699" s="4"/>
      <c r="S699" s="4"/>
      <c r="T699" s="4"/>
      <c r="U699" s="4"/>
      <c r="V699" s="4"/>
      <c r="X699" s="4"/>
      <c r="Y699" s="4"/>
      <c r="AA699" s="4"/>
      <c r="AB699" s="4"/>
      <c r="AC699" s="4"/>
      <c r="AD699" s="95"/>
    </row>
    <row r="700" spans="14:30">
      <c r="N700" s="7"/>
      <c r="P700" s="86"/>
      <c r="Q700" s="4"/>
      <c r="R700" s="4"/>
      <c r="S700" s="4"/>
      <c r="T700" s="4"/>
      <c r="U700" s="4"/>
      <c r="V700" s="4"/>
      <c r="X700" s="4"/>
      <c r="Y700" s="4"/>
      <c r="AA700" s="4"/>
      <c r="AB700" s="4"/>
      <c r="AC700" s="4"/>
      <c r="AD700" s="95"/>
    </row>
    <row r="701" spans="14:30">
      <c r="N701" s="7"/>
      <c r="P701" s="86"/>
      <c r="Q701" s="4"/>
      <c r="R701" s="4"/>
      <c r="S701" s="4"/>
      <c r="T701" s="4"/>
      <c r="U701" s="4"/>
      <c r="V701" s="4"/>
      <c r="X701" s="4"/>
      <c r="Y701" s="4"/>
      <c r="AA701" s="4"/>
      <c r="AB701" s="4"/>
      <c r="AC701" s="4"/>
      <c r="AD701" s="95"/>
    </row>
    <row r="702" spans="14:30">
      <c r="N702" s="7"/>
      <c r="P702" s="86"/>
      <c r="Q702" s="4"/>
      <c r="R702" s="4"/>
      <c r="S702" s="4"/>
      <c r="T702" s="4"/>
      <c r="U702" s="4"/>
      <c r="V702" s="4"/>
      <c r="X702" s="4"/>
      <c r="Y702" s="4"/>
      <c r="AA702" s="4"/>
      <c r="AB702" s="4"/>
      <c r="AC702" s="4"/>
      <c r="AD702" s="95"/>
    </row>
    <row r="703" spans="14:30">
      <c r="N703" s="7"/>
      <c r="P703" s="86"/>
      <c r="Q703" s="4"/>
      <c r="R703" s="4"/>
      <c r="S703" s="4"/>
      <c r="T703" s="4"/>
      <c r="U703" s="4"/>
      <c r="V703" s="4"/>
      <c r="X703" s="4"/>
      <c r="Y703" s="4"/>
      <c r="AA703" s="4"/>
      <c r="AB703" s="4"/>
      <c r="AC703" s="4"/>
      <c r="AD703" s="95"/>
    </row>
    <row r="704" spans="14:30">
      <c r="N704" s="7"/>
      <c r="P704" s="86"/>
      <c r="Q704" s="4"/>
      <c r="R704" s="4"/>
      <c r="S704" s="4"/>
      <c r="T704" s="4"/>
      <c r="U704" s="4"/>
      <c r="V704" s="4"/>
      <c r="X704" s="4"/>
      <c r="Y704" s="4"/>
      <c r="AA704" s="4"/>
      <c r="AB704" s="4"/>
      <c r="AC704" s="4"/>
      <c r="AD704" s="95"/>
    </row>
    <row r="705" spans="14:30">
      <c r="N705" s="7"/>
      <c r="P705" s="86"/>
      <c r="Q705" s="4"/>
      <c r="R705" s="4"/>
      <c r="S705" s="4"/>
      <c r="T705" s="4"/>
      <c r="U705" s="4"/>
      <c r="V705" s="4"/>
      <c r="X705" s="4"/>
      <c r="Y705" s="4"/>
      <c r="AA705" s="4"/>
      <c r="AB705" s="4"/>
      <c r="AC705" s="4"/>
      <c r="AD705" s="95"/>
    </row>
    <row r="706" spans="14:30">
      <c r="N706" s="7"/>
      <c r="P706" s="86"/>
      <c r="Q706" s="4"/>
      <c r="R706" s="4"/>
      <c r="S706" s="4"/>
      <c r="T706" s="4"/>
      <c r="U706" s="4"/>
      <c r="V706" s="4"/>
      <c r="X706" s="4"/>
      <c r="Y706" s="4"/>
      <c r="AA706" s="4"/>
      <c r="AB706" s="4"/>
      <c r="AC706" s="4"/>
      <c r="AD706" s="95"/>
    </row>
    <row r="707" spans="14:30">
      <c r="N707" s="7"/>
      <c r="P707" s="86"/>
      <c r="Q707" s="4"/>
      <c r="R707" s="4"/>
      <c r="S707" s="4"/>
      <c r="T707" s="4"/>
      <c r="U707" s="4"/>
      <c r="V707" s="4"/>
      <c r="X707" s="4"/>
      <c r="Y707" s="4"/>
      <c r="AA707" s="4"/>
      <c r="AB707" s="4"/>
      <c r="AC707" s="4"/>
      <c r="AD707" s="95"/>
    </row>
    <row r="708" spans="14:30">
      <c r="N708" s="7"/>
      <c r="P708" s="86"/>
      <c r="Q708" s="4"/>
      <c r="R708" s="4"/>
      <c r="S708" s="4"/>
      <c r="T708" s="4"/>
      <c r="U708" s="4"/>
      <c r="V708" s="4"/>
      <c r="X708" s="4"/>
      <c r="Y708" s="4"/>
      <c r="AA708" s="4"/>
      <c r="AB708" s="4"/>
      <c r="AC708" s="4"/>
      <c r="AD708" s="95"/>
    </row>
  </sheetData>
  <mergeCells count="46">
    <mergeCell ref="A1:M1"/>
    <mergeCell ref="N1:X1"/>
    <mergeCell ref="AF2:AR2"/>
    <mergeCell ref="P4:AE4"/>
    <mergeCell ref="AS4:BE4"/>
    <mergeCell ref="BF4:BH4"/>
    <mergeCell ref="BI4:BK4"/>
    <mergeCell ref="BL4:BM4"/>
    <mergeCell ref="Q5:S5"/>
    <mergeCell ref="T5:V5"/>
    <mergeCell ref="W5:Y5"/>
    <mergeCell ref="Z5:AB5"/>
    <mergeCell ref="AC5:AE5"/>
    <mergeCell ref="AG5:AI5"/>
    <mergeCell ref="AJ5:AL5"/>
    <mergeCell ref="AM5:AO5"/>
    <mergeCell ref="AP5:AR5"/>
    <mergeCell ref="AT5:AV5"/>
    <mergeCell ref="AW5:AY5"/>
    <mergeCell ref="AZ5:BB5"/>
    <mergeCell ref="BC5:BE5"/>
    <mergeCell ref="BF5:BH5"/>
    <mergeCell ref="BI5:BK5"/>
    <mergeCell ref="BL5:BM5"/>
    <mergeCell ref="E6:K6"/>
    <mergeCell ref="P16:AE16"/>
    <mergeCell ref="AF16:AR16"/>
    <mergeCell ref="AS16:BE16"/>
    <mergeCell ref="BF16:BH16"/>
    <mergeCell ref="BI16:BK16"/>
    <mergeCell ref="BL16:BM16"/>
    <mergeCell ref="Q17:S17"/>
    <mergeCell ref="T17:V17"/>
    <mergeCell ref="W17:Y17"/>
    <mergeCell ref="Z17:AB17"/>
    <mergeCell ref="AC17:AE17"/>
    <mergeCell ref="AG17:AI17"/>
    <mergeCell ref="AJ17:AL17"/>
    <mergeCell ref="AM17:AO17"/>
    <mergeCell ref="AP17:AR17"/>
    <mergeCell ref="AT17:AV17"/>
    <mergeCell ref="AW17:AY17"/>
    <mergeCell ref="AZ17:BB17"/>
    <mergeCell ref="BC17:BE17"/>
    <mergeCell ref="BF17:BH17"/>
    <mergeCell ref="BI17:BK17"/>
  </mergeCells>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3"/>
  <sheetViews>
    <sheetView zoomScale="85" zoomScaleNormal="85" topLeftCell="A13" workbookViewId="0">
      <selection activeCell="G41" sqref="G41"/>
    </sheetView>
  </sheetViews>
  <sheetFormatPr defaultColWidth="9" defaultRowHeight="15"/>
  <cols>
    <col min="1" max="1" width="26.8571428571429" customWidth="1"/>
    <col min="2" max="2" width="25.5714285714286" customWidth="1"/>
    <col min="3" max="3" width="10.1428571428571" customWidth="1"/>
  </cols>
  <sheetData>
    <row r="1" ht="27.75" spans="1:9">
      <c r="A1" s="1" t="s">
        <v>513</v>
      </c>
      <c r="B1" s="1"/>
      <c r="C1" s="1"/>
      <c r="D1" s="1"/>
      <c r="E1" s="1"/>
      <c r="F1" s="1"/>
      <c r="G1" s="1"/>
      <c r="H1" s="1"/>
      <c r="I1" s="1"/>
    </row>
    <row r="2" spans="1:9">
      <c r="A2" s="2"/>
      <c r="B2" s="2" t="s">
        <v>91</v>
      </c>
      <c r="C2" s="3"/>
      <c r="D2" s="4"/>
      <c r="E2" s="2"/>
      <c r="F2" s="2"/>
      <c r="G2" s="2"/>
      <c r="H2" s="2"/>
      <c r="I2" s="2"/>
    </row>
    <row r="3" spans="1:9">
      <c r="A3" s="2"/>
      <c r="B3" s="2" t="s">
        <v>92</v>
      </c>
      <c r="C3" s="5"/>
      <c r="D3" s="4"/>
      <c r="E3" s="2"/>
      <c r="F3" s="2"/>
      <c r="G3" s="2"/>
      <c r="H3" s="2"/>
      <c r="I3" s="2"/>
    </row>
    <row r="4" spans="1:9">
      <c r="A4" s="2"/>
      <c r="B4" s="2" t="s">
        <v>96</v>
      </c>
      <c r="C4" s="6"/>
      <c r="D4" s="4"/>
      <c r="E4" s="2"/>
      <c r="F4" s="2"/>
      <c r="G4" s="2"/>
      <c r="H4" s="2"/>
      <c r="I4" s="2"/>
    </row>
    <row r="5" spans="1:9">
      <c r="A5" s="7" t="s">
        <v>97</v>
      </c>
      <c r="B5" s="7" t="s">
        <v>98</v>
      </c>
      <c r="C5" s="7" t="s">
        <v>99</v>
      </c>
      <c r="D5" s="4"/>
      <c r="E5" s="8" t="s">
        <v>100</v>
      </c>
      <c r="F5" s="8"/>
      <c r="G5" s="8"/>
      <c r="H5" s="8"/>
      <c r="I5" s="7"/>
    </row>
    <row r="6" customFormat="1" spans="1:9">
      <c r="A6" s="7"/>
      <c r="B6" s="7"/>
      <c r="C6" s="7"/>
      <c r="D6" s="9" t="s">
        <v>514</v>
      </c>
      <c r="E6" s="8"/>
      <c r="F6" s="8"/>
      <c r="G6" s="8"/>
      <c r="H6" s="8"/>
      <c r="I6" s="7"/>
    </row>
    <row r="7" customFormat="1" spans="1:9">
      <c r="A7" s="7" t="s">
        <v>515</v>
      </c>
      <c r="B7" s="7"/>
      <c r="C7" s="7"/>
      <c r="D7" s="4"/>
      <c r="E7" s="8"/>
      <c r="F7" s="8"/>
      <c r="G7" s="8"/>
      <c r="H7" s="8"/>
      <c r="I7" s="7"/>
    </row>
    <row r="8" customFormat="1" spans="1:9">
      <c r="A8" s="7"/>
      <c r="B8" s="7"/>
      <c r="C8" s="7"/>
      <c r="D8" s="4"/>
      <c r="E8" s="8"/>
      <c r="F8" s="8"/>
      <c r="G8" s="8"/>
      <c r="H8" s="8"/>
      <c r="I8" s="7"/>
    </row>
    <row r="9" spans="1:9">
      <c r="A9" t="s">
        <v>516</v>
      </c>
      <c r="B9" s="10">
        <v>0.91</v>
      </c>
      <c r="D9" t="s">
        <v>517</v>
      </c>
    </row>
    <row r="10" customFormat="1" spans="1:9">
      <c r="A10" t="s">
        <v>518</v>
      </c>
      <c r="B10" s="11">
        <f>(1-B9)/(2.2*10^6)</f>
        <v>4.09090909090909e-8</v>
      </c>
      <c r="C10" t="s">
        <v>173</v>
      </c>
      <c r="D10" t="s">
        <v>519</v>
      </c>
    </row>
    <row r="11" spans="1:9">
      <c r="A11" t="s">
        <v>520</v>
      </c>
      <c r="B11" s="10">
        <v>0.95</v>
      </c>
      <c r="D11" t="s">
        <v>517</v>
      </c>
    </row>
    <row r="12" customFormat="1" spans="1:9">
      <c r="A12" t="s">
        <v>521</v>
      </c>
      <c r="B12" s="11">
        <f>(1-B11)/(2.2*10^6)</f>
        <v>2.27272727272727e-8</v>
      </c>
      <c r="C12" t="s">
        <v>173</v>
      </c>
      <c r="D12" t="s">
        <v>522</v>
      </c>
    </row>
    <row r="13" spans="1:9">
      <c r="A13" t="s">
        <v>523</v>
      </c>
      <c r="B13" s="10">
        <v>0.98</v>
      </c>
      <c r="D13" t="s">
        <v>517</v>
      </c>
    </row>
    <row r="14" spans="1:9">
      <c r="A14" t="s">
        <v>524</v>
      </c>
      <c r="B14" s="11">
        <f>(1-B13)/(2.2*10^6)</f>
        <v>9.0909090909091e-9</v>
      </c>
      <c r="C14" t="s">
        <v>173</v>
      </c>
      <c r="D14" t="s">
        <v>525</v>
      </c>
    </row>
    <row r="16" spans="1:9">
      <c r="A16" t="s">
        <v>526</v>
      </c>
      <c r="B16" s="10">
        <v>0.97</v>
      </c>
      <c r="D16" t="s">
        <v>527</v>
      </c>
    </row>
    <row r="17" spans="1:6">
      <c r="A17" t="s">
        <v>528</v>
      </c>
      <c r="B17" s="10">
        <v>0.98</v>
      </c>
      <c r="D17" t="s">
        <v>529</v>
      </c>
    </row>
    <row r="18" spans="1:6">
      <c r="A18" t="s">
        <v>530</v>
      </c>
      <c r="B18" s="10">
        <v>0.99</v>
      </c>
      <c r="D18" t="s">
        <v>531</v>
      </c>
    </row>
    <row r="19" spans="1:6">
      <c r="B19">
        <f>IF(((1-D_limit_min)/Constants!B12)&lt;Fsw,2,1)</f>
        <v>1</v>
      </c>
      <c r="D19" t="s">
        <v>532</v>
      </c>
    </row>
    <row r="20" spans="1:6">
      <c r="A20" t="s">
        <v>533</v>
      </c>
      <c r="B20" s="12">
        <f>CHOOSE(B19,D_limit_min,(1-Constants!B10*Fsw))</f>
        <v>0.97</v>
      </c>
      <c r="D20" t="s">
        <v>534</v>
      </c>
    </row>
    <row r="22" spans="1:6">
      <c r="A22" t="s">
        <v>535</v>
      </c>
      <c r="B22" s="10">
        <f>325*10^-9</f>
        <v>3.25e-7</v>
      </c>
      <c r="C22" t="s">
        <v>173</v>
      </c>
      <c r="D22" t="s">
        <v>536</v>
      </c>
    </row>
    <row r="23" customFormat="1" spans="1:6">
      <c r="B23" s="13"/>
    </row>
    <row r="24" ht="15.75" spans="1:6">
      <c r="A24" s="14" t="s">
        <v>537</v>
      </c>
      <c r="E24" t="s">
        <v>538</v>
      </c>
      <c r="F24" s="15">
        <f>'Design Converter'!H12*1000</f>
        <v>750000</v>
      </c>
    </row>
    <row r="25" spans="1:6">
      <c r="A25" t="s">
        <v>484</v>
      </c>
      <c r="B25" s="10">
        <f>0.00005-(0.00000000001*F24)</f>
        <v>4.25e-5</v>
      </c>
      <c r="C25" t="s">
        <v>12</v>
      </c>
      <c r="D25" t="s">
        <v>539</v>
      </c>
    </row>
    <row r="26" spans="1:6">
      <c r="A26" t="s">
        <v>482</v>
      </c>
      <c r="B26" s="10">
        <v>2000</v>
      </c>
      <c r="C26" s="16" t="s">
        <v>35</v>
      </c>
      <c r="D26" t="s">
        <v>540</v>
      </c>
    </row>
    <row r="27" spans="1:6">
      <c r="A27" t="s">
        <v>541</v>
      </c>
      <c r="B27" s="10">
        <f>0.156</f>
        <v>0.156</v>
      </c>
      <c r="C27" s="16" t="s">
        <v>7</v>
      </c>
      <c r="D27" t="s">
        <v>542</v>
      </c>
    </row>
    <row r="28" spans="1:6">
      <c r="A28" t="s">
        <v>543</v>
      </c>
      <c r="B28" s="10">
        <v>2000</v>
      </c>
      <c r="C28" s="16" t="s">
        <v>35</v>
      </c>
    </row>
    <row r="29" spans="1:6">
      <c r="A29" t="s">
        <v>486</v>
      </c>
      <c r="B29" s="10">
        <f>0.9</f>
        <v>0.9</v>
      </c>
      <c r="C29" t="s">
        <v>244</v>
      </c>
      <c r="D29" t="s">
        <v>544</v>
      </c>
    </row>
    <row r="30" spans="1:6">
      <c r="A30" t="s">
        <v>545</v>
      </c>
      <c r="B30" s="10">
        <v>1</v>
      </c>
      <c r="C30" t="s">
        <v>244</v>
      </c>
      <c r="D30" t="s">
        <v>546</v>
      </c>
    </row>
    <row r="32" customFormat="1" spans="1:6">
      <c r="A32" s="17" t="s">
        <v>438</v>
      </c>
    </row>
    <row r="33" customFormat="1" spans="1:7">
      <c r="A33" t="s">
        <v>547</v>
      </c>
      <c r="B33" s="10">
        <v>1.26</v>
      </c>
      <c r="C33" t="s">
        <v>7</v>
      </c>
      <c r="D33" t="s">
        <v>548</v>
      </c>
    </row>
    <row r="34" spans="1:7">
      <c r="A34" t="s">
        <v>549</v>
      </c>
      <c r="B34" s="10">
        <f>(800*10^-6)/1</f>
        <v>0.0008</v>
      </c>
      <c r="C34" t="s">
        <v>550</v>
      </c>
      <c r="D34" t="s">
        <v>551</v>
      </c>
    </row>
    <row r="36" spans="1:7">
      <c r="A36" s="17" t="s">
        <v>552</v>
      </c>
    </row>
    <row r="37" spans="1:7">
      <c r="A37" t="s">
        <v>553</v>
      </c>
      <c r="B37" s="10">
        <v>4</v>
      </c>
      <c r="C37" t="s">
        <v>283</v>
      </c>
    </row>
    <row r="39" spans="1:7">
      <c r="A39" s="17" t="s">
        <v>554</v>
      </c>
    </row>
    <row r="40" spans="1:7">
      <c r="A40" t="s">
        <v>555</v>
      </c>
      <c r="B40" s="10">
        <v>3.02</v>
      </c>
      <c r="C40" t="s">
        <v>7</v>
      </c>
      <c r="D40" t="s">
        <v>556</v>
      </c>
    </row>
    <row r="41" spans="1:7">
      <c r="A41" t="s">
        <v>557</v>
      </c>
      <c r="B41" s="10">
        <v>2.85</v>
      </c>
      <c r="C41" t="s">
        <v>7</v>
      </c>
      <c r="D41" t="s">
        <v>556</v>
      </c>
    </row>
    <row r="42" spans="1:7">
      <c r="A42" t="s">
        <v>558</v>
      </c>
      <c r="B42" s="10">
        <v>0.17</v>
      </c>
      <c r="C42" t="s">
        <v>7</v>
      </c>
      <c r="D42" t="s">
        <v>556</v>
      </c>
    </row>
    <row r="44" spans="1:7">
      <c r="A44" s="17" t="s">
        <v>559</v>
      </c>
    </row>
    <row r="45" spans="1:7">
      <c r="A45" t="s">
        <v>560</v>
      </c>
      <c r="B45" s="10">
        <v>7.2</v>
      </c>
      <c r="C45" t="s">
        <v>7</v>
      </c>
      <c r="D45" t="s">
        <v>561</v>
      </c>
    </row>
    <row r="47" spans="1:7">
      <c r="A47" s="17" t="s">
        <v>562</v>
      </c>
    </row>
    <row r="48" spans="1:7">
      <c r="A48" t="s">
        <v>563</v>
      </c>
      <c r="B48" s="10">
        <f>3.3*(10^-3)</f>
        <v>0.0033</v>
      </c>
      <c r="C48" t="s">
        <v>12</v>
      </c>
      <c r="D48" t="s">
        <v>564</v>
      </c>
      <c r="G48" t="s">
        <v>565</v>
      </c>
    </row>
    <row r="50" spans="1:4">
      <c r="A50" t="s">
        <v>566</v>
      </c>
    </row>
    <row r="51" spans="1:4">
      <c r="A51" t="s">
        <v>567</v>
      </c>
      <c r="B51" s="10">
        <v>2.97</v>
      </c>
      <c r="C51" t="s">
        <v>7</v>
      </c>
      <c r="D51" t="s">
        <v>568</v>
      </c>
    </row>
    <row r="52" spans="1:4">
      <c r="A52" t="s">
        <v>569</v>
      </c>
      <c r="B52" s="10">
        <v>40</v>
      </c>
      <c r="C52" t="s">
        <v>7</v>
      </c>
      <c r="D52" t="s">
        <v>570</v>
      </c>
    </row>
    <row r="53" spans="1:4">
      <c r="A53" t="s">
        <v>571</v>
      </c>
      <c r="B53" s="10">
        <v>40</v>
      </c>
      <c r="C53" t="s">
        <v>7</v>
      </c>
      <c r="D53" t="s">
        <v>572</v>
      </c>
    </row>
  </sheetData>
  <mergeCells count="2">
    <mergeCell ref="A1:I1"/>
    <mergeCell ref="E5:H5"/>
  </mergeCell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B2:B3"/>
  <sheetViews>
    <sheetView zoomScale="70" zoomScaleNormal="70" topLeftCell="B1" workbookViewId="0">
      <selection activeCell="E3" sqref="E3"/>
    </sheetView>
  </sheetViews>
  <sheetFormatPr defaultColWidth="9" defaultRowHeight="15" outlineLevelRow="2" outlineLevelCol="1"/>
  <cols>
    <col min="3" max="3" width="144.857142857143" customWidth="1"/>
  </cols>
  <sheetData>
    <row r="2" spans="2:2">
      <c r="B2" t="str">
        <f>"Eff_vs_IOUT"</f>
        <v>Eff_vs_IOUT</v>
      </c>
    </row>
    <row r="3" ht="379.7" customHeight="1"/>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2"/>
  <sheetViews>
    <sheetView workbookViewId="0">
      <selection activeCell="C2" sqref="C2"/>
    </sheetView>
  </sheetViews>
  <sheetFormatPr defaultColWidth="9" defaultRowHeight="15" outlineLevelRow="1"/>
  <cols>
    <col min="2" max="2" width="71.2857142857143" customWidth="1"/>
  </cols>
  <sheetData>
    <row r="2" ht="294.6" customHeight="1"/>
  </sheetData>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2:D5"/>
  <sheetViews>
    <sheetView workbookViewId="0">
      <selection activeCell="B3" sqref="B3"/>
    </sheetView>
  </sheetViews>
  <sheetFormatPr defaultColWidth="9" defaultRowHeight="15" outlineLevelRow="4" outlineLevelCol="3"/>
  <sheetData>
    <row r="2" spans="1:4">
      <c r="A2" t="s">
        <v>573</v>
      </c>
    </row>
    <row r="3" spans="1:4">
      <c r="B3">
        <f>VIN_min</f>
        <v>3</v>
      </c>
    </row>
    <row r="4" spans="1:4">
      <c r="B4">
        <f>VIN_nom</f>
        <v>3.7</v>
      </c>
      <c r="D4">
        <v>2.5</v>
      </c>
    </row>
    <row r="5" spans="1:4">
      <c r="B5">
        <f>VIN_max</f>
        <v>9</v>
      </c>
    </row>
  </sheetData>
  <dataValidations count="3">
    <dataValidation type="list" allowBlank="1" showInputMessage="1" showErrorMessage="1" sqref="D4">
      <formula1>$B$3:$B$5</formula1>
    </dataValidation>
    <dataValidation type="decimal" operator="between" allowBlank="1" showInputMessage="1" showErrorMessage="1" sqref="F4">
      <formula1>B3</formula1>
      <formula2>B5</formula2>
    </dataValidation>
    <dataValidation type="list" showInputMessage="1" showErrorMessage="1" sqref="I15" showDropDown="1">
      <formula1>$B$3:$B$5</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0" master="" otherUserPermission="visible"/>
  <rangeList sheetStid="2" master="" otherUserPermission="visible"/>
  <rangeList sheetStid="4" master="" otherUserPermission="visible"/>
  <rangeList sheetStid="5" master="" otherUserPermission="visible"/>
  <rangeList sheetStid="3" master="" otherUserPermission="visible"/>
  <rangeList sheetStid="6" master="" otherUserPermission="visible"/>
  <rangeList sheetStid="7" master="" otherUserPermission="visible"/>
  <rangeList sheetStid="8"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Texas Instruments Incorporated</Company>
  <Application>Microsoft Excel</Application>
  <HeadingPairs>
    <vt:vector size="2" baseType="variant">
      <vt:variant>
        <vt:lpstr>工作表</vt:lpstr>
      </vt:variant>
      <vt:variant>
        <vt:i4>9</vt:i4>
      </vt:variant>
    </vt:vector>
  </HeadingPairs>
  <TitlesOfParts>
    <vt:vector size="9" baseType="lpstr">
      <vt:lpstr>Design Converter</vt:lpstr>
      <vt:lpstr>Licenses</vt:lpstr>
      <vt:lpstr>Variable_Management</vt:lpstr>
      <vt:lpstr>Eff_vs_IOUT</vt:lpstr>
      <vt:lpstr>Loop_Modeling</vt:lpstr>
      <vt:lpstr>Constants</vt:lpstr>
      <vt:lpstr>Plot_Management_Eff</vt:lpstr>
      <vt:lpstr>Plot_Management_Sch</vt:lpstr>
      <vt:lpstr>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BMC-BCS</dc:creator>
  <cp:lastModifiedBy>Rozkurwiator</cp:lastModifiedBy>
  <dcterms:created xsi:type="dcterms:W3CDTF">2018-06-26T09:13:00Z</dcterms:created>
  <cp:lastPrinted>2018-08-09T07:13:00Z</cp:lastPrinted>
  <dcterms:modified xsi:type="dcterms:W3CDTF">2026-09-29T18:14:57Z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FA8F5C428ACF4829BF6D84869630F810_13</vt:lpwstr>
  </property>
  <property fmtid="{D5CDD505-2E9C-101B-9397-08002B2CF9AE}" pid="3" name="KSOProductBuildVer">
    <vt:lpwstr>1045-12.1.0.28485</vt:lpwstr>
  </property>
  <property fmtid="{D5CDD505-2E9C-101B-9397-08002B2CF9AE}" pid="4" name="CalculationRule">
    <vt:i4>0</vt:i4>
  </property>
</Properties>
</file>